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HBsmJ8hruldHKBRDX/xu35mLs8+tN5Ot4HfSYOKAL9ldFdIYCJp9k4lVW8sJG0ab0v3M18Oh7bQDJwjCqRc6g==" workbookSaltValue="IF+Pt+9CmAK3iswzo94h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AL21" i="11"/>
  <c r="L17" i="14"/>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BG9" i="11"/>
  <c r="BI16" i="11"/>
  <c r="BJ21" i="11"/>
  <c r="BK19" i="11"/>
  <c r="P18" i="17"/>
  <c r="S20" i="14"/>
  <c r="V20" i="14" s="1"/>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Q25" i="11" l="1"/>
  <c r="BJ23" i="11"/>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<sst xmlns="http://schemas.openxmlformats.org/spreadsheetml/2006/main" count="2682" uniqueCount="1192">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</sst>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kbQ9f43ZL97vjLKwtOLDzeXj2A3fwM4D5GEztjRJMwNbSfdYDCvtPIjuqo7XQh5jLdzbGxuVEbIzD1BVndsIw==" saltValue="OaYZivtCRlqNc+azMPSG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82</v>
      </c>
      <c r="D10" s="239">
        <f>IF(ISNUMBER(Datos!I10),Datos!I10," - ")</f>
        <v>82</v>
      </c>
      <c r="E10" s="240">
        <f>IF(ISNUMBER(Datos!J10),Datos!J10," - ")</f>
        <v>17</v>
      </c>
      <c r="F10" s="240">
        <f>IF(ISNUMBER(Datos!K10),Datos!K10," - ")</f>
        <v>13</v>
      </c>
      <c r="G10" s="1390" t="str">
        <f>IF(Datos!E10&lt;&gt;"",Datos!E10,Datos!D10)</f>
        <v>37</v>
      </c>
      <c r="H10" s="241">
        <f>IF(ISNUMBER(Datos!L10),Datos!L10," - ")</f>
        <v>86</v>
      </c>
      <c r="I10" s="1400" t="str">
        <f>IF(ISNUMBER(Datos!AS10/Datos!BM10),Datos!AS10/Datos!BM10," - ")</f>
        <v xml:space="preserve"> - </v>
      </c>
      <c r="J10" s="1401">
        <f>IF(ISNUMBER(Datos!BY10/Datos!CN10),Datos!BY10/Datos!CN10," - ")</f>
        <v>0</v>
      </c>
      <c r="K10" s="244">
        <f t="shared" ref="K10:K13" si="1">IF(ISNUMBER((E10-F10)/C10),(E10-F10)/C10," - ")</f>
        <v>4.878048780487805E-2</v>
      </c>
      <c r="L10" s="1402">
        <f>IF(ISNUMBER(NºAsuntos!I10/NºAsuntos!G10),(NºAsuntos!I10/NºAsuntos!G10)*11," - ")</f>
        <v>72.769230769230759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43.118713450292397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82</v>
      </c>
      <c r="D14" s="1407">
        <f>SUBTOTAL(9,D9:D13)</f>
        <v>82</v>
      </c>
      <c r="E14" s="1408">
        <f>SUBTOTAL(9,E9:E13)</f>
        <v>17</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1599</v>
      </c>
      <c r="D17" s="239">
        <f>IF(ISNUMBER(IF(D_I="SI",Datos!I17,Datos!I17+Datos!AC17)),IF(D_I="SI",Datos!I17,Datos!I17+Datos!AC17)," - ")</f>
        <v>1573</v>
      </c>
      <c r="E17" s="240">
        <f>IF(ISNUMBER(IF(D_I="SI",Datos!J17,Datos!J17+Datos!AD17)),IF(D_I="SI",Datos!J17,Datos!J17+Datos!AD17)," - ")</f>
        <v>1693</v>
      </c>
      <c r="F17" s="240">
        <f>IF(ISNUMBER(IF(D_I="SI",Datos!K17,Datos!K17+Datos!AE17)),IF(D_I="SI",Datos!K17,Datos!K17+Datos!AE17)," - ")</f>
        <v>1735</v>
      </c>
      <c r="G17" s="1390" t="str">
        <f>IF(Datos!E17&lt;&gt;"",Datos!E17,Datos!D17)</f>
        <v>04</v>
      </c>
      <c r="H17" s="241">
        <f>IF(ISNUMBER(IF(D_I="SI",Datos!L17,Datos!L17+Datos!AF17)),IF(D_I="SI",Datos!L17,Datos!L17+Datos!AF17)," - ")</f>
        <v>1557</v>
      </c>
      <c r="I17" s="1400" t="str">
        <f>IF(ISNUMBER(Datos!AS17/Datos!BM17),Datos!AS17/Datos!BM17," - ")</f>
        <v xml:space="preserve"> - </v>
      </c>
      <c r="J17" s="1401">
        <f>IF(ISNUMBER(Datos!BY17/Datos!CN17),Datos!BY17/Datos!CN17," - ")</f>
        <v>0</v>
      </c>
      <c r="K17" s="244">
        <f t="shared" si="3"/>
        <v>-2.6266416510318951E-2</v>
      </c>
      <c r="L17" s="1402">
        <f>IF(ISNUMBER(NºAsuntos!I17/NºAsuntos!G17),(NºAsuntos!I17/NºAsuntos!G17)*11," - ")</f>
        <v>9.8714697406340051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223</v>
      </c>
      <c r="E18" s="240">
        <f>IF(ISNUMBER(IF(D_I="SI",Datos!J18,Datos!J18+Datos!AD18)),IF(D_I="SI",Datos!J18,Datos!J18+Datos!AD18)," - ")</f>
        <v>200</v>
      </c>
      <c r="F18" s="240">
        <f>IF(ISNUMBER(IF(D_I="SI",Datos!K18,Datos!K18+Datos!AE18)),IF(D_I="SI",Datos!K18,Datos!K18+Datos!AE18)," - ")</f>
        <v>174</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0.20472440944881889</v>
      </c>
      <c r="L18" s="1402">
        <f>IF(ISNUMBER(NºAsuntos!I18/NºAsuntos!G18),(NºAsuntos!I18/NºAsuntos!G18)*11," - ")</f>
        <v>9.6724137931034484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1726</v>
      </c>
      <c r="D23" s="1407">
        <f>SUBTOTAL(9,D16:D22)</f>
        <v>1796</v>
      </c>
      <c r="E23" s="1408">
        <f>SUBTOTAL(9,E16:E22)</f>
        <v>1893</v>
      </c>
      <c r="F23" s="1408">
        <f>SUBTOTAL(9,F16:F22)</f>
        <v>1909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1808</v>
      </c>
      <c r="D31" s="1435">
        <f>SUBTOTAL(9,D9:D30)</f>
        <v>1878</v>
      </c>
      <c r="E31" s="1436">
        <f>SUBTOTAL(9,E9:E30)</f>
        <v>1910</v>
      </c>
      <c r="F31" s="1436">
        <f>SUBTOTAL(9,F9:F30)</f>
        <v>1922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uDMdoNcpRd0xS++vnsapbIVRXPhuZZU+XiZcGFH0nN8SaxvPbuOl8lk9vgzABTTls9hSYbQttVLN3mbZu+rA==" saltValue="mYosUFjMFgj5ehQTKMhj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YVuHSFAbBDXC/bPsTJ+GkeeeYHAWkp/bmvfD2lu1Pweur51mEeFDPxzc5oMFIrvsANE5CEXBtzDdcCP0eUjwA==" saltValue="Cc7V9qX2eMlVbc6nfI/x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82</v>
      </c>
      <c r="J10" s="194">
        <v>17</v>
      </c>
      <c r="K10" s="194">
        <v>13</v>
      </c>
      <c r="L10" s="194">
        <v>86</v>
      </c>
      <c r="M10" s="194">
        <v>6</v>
      </c>
      <c r="N10" s="194">
        <v>3</v>
      </c>
      <c r="O10" s="194">
        <v>3</v>
      </c>
      <c r="P10" s="194">
        <v>8</v>
      </c>
      <c r="Q10" s="194">
        <v>2</v>
      </c>
      <c r="R10" s="194">
        <v>94</v>
      </c>
      <c r="S10" s="194">
        <v>72</v>
      </c>
      <c r="T10" s="194">
        <v>4</v>
      </c>
      <c r="U10" s="194">
        <v>0</v>
      </c>
      <c r="V10" s="194">
        <v>76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72</v>
      </c>
      <c r="AZ10" s="139">
        <f t="shared" si="0"/>
        <v>4</v>
      </c>
      <c r="BA10" s="139">
        <f t="shared" si="0"/>
        <v>0</v>
      </c>
      <c r="BB10" s="139">
        <f t="shared" si="0"/>
        <v>76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5505</v>
      </c>
      <c r="J12" s="196">
        <v>1953</v>
      </c>
      <c r="K12" s="196">
        <v>1379</v>
      </c>
      <c r="L12" s="196">
        <v>6186</v>
      </c>
      <c r="M12" s="196">
        <v>317</v>
      </c>
      <c r="N12" s="196">
        <v>779</v>
      </c>
      <c r="O12" s="194">
        <v>624</v>
      </c>
      <c r="P12" s="196">
        <v>356</v>
      </c>
      <c r="Q12" s="196">
        <v>227</v>
      </c>
      <c r="R12" s="196">
        <v>7611</v>
      </c>
      <c r="S12" s="196">
        <v>3886</v>
      </c>
      <c r="T12" s="196">
        <v>1456</v>
      </c>
      <c r="U12" s="196">
        <v>1538</v>
      </c>
      <c r="V12" s="196">
        <v>3804</v>
      </c>
      <c r="W12" s="196">
        <v>368</v>
      </c>
      <c r="X12" s="202">
        <v>821</v>
      </c>
      <c r="Y12" s="204">
        <v>492</v>
      </c>
      <c r="Z12" s="194">
        <v>356</v>
      </c>
      <c r="AA12" s="194">
        <v>331</v>
      </c>
      <c r="AB12" s="194">
        <v>517</v>
      </c>
      <c r="AC12" s="196">
        <v>0</v>
      </c>
      <c r="AD12" s="196">
        <v>0</v>
      </c>
      <c r="AE12" s="196">
        <v>0</v>
      </c>
      <c r="AF12" s="202">
        <v>0</v>
      </c>
      <c r="AG12" s="215">
        <v>248</v>
      </c>
      <c r="AH12" s="196">
        <v>249</v>
      </c>
      <c r="AI12" s="196">
        <v>247</v>
      </c>
      <c r="AJ12" s="216">
        <v>250</v>
      </c>
      <c r="AK12" s="195">
        <v>0</v>
      </c>
      <c r="AL12" s="196">
        <v>0</v>
      </c>
      <c r="AM12" s="196">
        <v>0</v>
      </c>
      <c r="AN12" s="202">
        <v>0</v>
      </c>
      <c r="AO12" s="283">
        <v>7</v>
      </c>
      <c r="AP12" s="168">
        <v>7</v>
      </c>
      <c r="AQ12" s="168">
        <v>7</v>
      </c>
      <c r="AR12" s="167">
        <v>7</v>
      </c>
      <c r="AS12" s="381" t="s">
        <v>1075</v>
      </c>
      <c r="AT12" s="216"/>
      <c r="AU12" s="215"/>
      <c r="AV12" s="216"/>
      <c r="AW12" s="215"/>
      <c r="AX12" s="216"/>
      <c r="AY12" s="136">
        <f t="shared" si="1"/>
        <v>4134</v>
      </c>
      <c r="AZ12" s="137">
        <f t="shared" si="1"/>
        <v>1705</v>
      </c>
      <c r="BA12" s="137">
        <f t="shared" si="1"/>
        <v>1785</v>
      </c>
      <c r="BB12" s="137">
        <f t="shared" si="1"/>
        <v>4054</v>
      </c>
      <c r="BC12" s="135">
        <f>IF(ISNUMBER(X12),X12," - ")</f>
        <v>821</v>
      </c>
      <c r="BD12" s="136">
        <f t="shared" si="2"/>
        <v>1.0469208211143695</v>
      </c>
      <c r="BE12" s="137">
        <f t="shared" si="3"/>
        <v>2.2711484593837534</v>
      </c>
      <c r="BF12" s="137">
        <f t="shared" si="4"/>
        <v>0.45994397759103639</v>
      </c>
      <c r="BG12" s="209">
        <f t="shared" si="5"/>
        <v>3.2711484593837534</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5587</v>
      </c>
      <c r="J14" s="197">
        <f t="shared" si="7"/>
        <v>1970</v>
      </c>
      <c r="K14" s="197">
        <f t="shared" si="7"/>
        <v>1392</v>
      </c>
      <c r="L14" s="197">
        <f t="shared" si="7"/>
        <v>6272</v>
      </c>
      <c r="M14" s="197">
        <f t="shared" si="7"/>
        <v>323</v>
      </c>
      <c r="N14" s="197">
        <f t="shared" si="7"/>
        <v>782</v>
      </c>
      <c r="O14" s="197">
        <f t="shared" si="7"/>
        <v>627</v>
      </c>
      <c r="P14" s="197">
        <f t="shared" si="7"/>
        <v>364</v>
      </c>
      <c r="Q14" s="197">
        <f t="shared" si="7"/>
        <v>229</v>
      </c>
      <c r="R14" s="197">
        <f t="shared" si="7"/>
        <v>7705</v>
      </c>
      <c r="S14" s="197">
        <f t="shared" si="7"/>
        <v>3958</v>
      </c>
      <c r="T14" s="197">
        <f t="shared" si="7"/>
        <v>1460</v>
      </c>
      <c r="U14" s="197">
        <f t="shared" si="7"/>
        <v>1538</v>
      </c>
      <c r="V14" s="197">
        <f t="shared" si="7"/>
        <v>3880</v>
      </c>
      <c r="W14" s="197">
        <f t="shared" si="7"/>
        <v>368</v>
      </c>
      <c r="X14" s="197">
        <f t="shared" si="7"/>
        <v>821</v>
      </c>
      <c r="Y14" s="197">
        <f t="shared" si="7"/>
        <v>492</v>
      </c>
      <c r="Z14" s="197">
        <f t="shared" si="7"/>
        <v>356</v>
      </c>
      <c r="AA14" s="197">
        <f t="shared" si="7"/>
        <v>331</v>
      </c>
      <c r="AB14" s="197">
        <f t="shared" si="7"/>
        <v>517</v>
      </c>
      <c r="AC14" s="197">
        <f t="shared" si="7"/>
        <v>0</v>
      </c>
      <c r="AD14" s="197">
        <f t="shared" si="7"/>
        <v>0</v>
      </c>
      <c r="AE14" s="197">
        <f t="shared" si="7"/>
        <v>0</v>
      </c>
      <c r="AF14" s="197">
        <f>SUBTOTAL(9,AF9:AF13)</f>
        <v>0</v>
      </c>
      <c r="AG14" s="197">
        <f t="shared" ref="AG14:AT14" si="8">SUBTOTAL(9,AG8:AG13)</f>
        <v>248</v>
      </c>
      <c r="AH14" s="197">
        <f t="shared" si="8"/>
        <v>249</v>
      </c>
      <c r="AI14" s="197">
        <f t="shared" si="8"/>
        <v>247</v>
      </c>
      <c r="AJ14" s="197">
        <f t="shared" si="8"/>
        <v>250</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4206</v>
      </c>
      <c r="AZ14" s="197">
        <f>SUBTOTAL(9,AZ8:AZ13)</f>
        <v>1709</v>
      </c>
      <c r="BA14" s="197">
        <f>SUBTOTAL(9,BA8:BA13)</f>
        <v>1785</v>
      </c>
      <c r="BB14" s="197">
        <f>SUBTOTAL(9,BB8:BB13)</f>
        <v>4130</v>
      </c>
      <c r="BC14" s="197">
        <f>SUBTOTAL(9,BC8:BC13)</f>
        <v>821</v>
      </c>
      <c r="BD14" s="219">
        <f>IF(ISNUMBER(BA14/AZ14),BA14/AZ14," - ")</f>
        <v>1.0444704505558806</v>
      </c>
      <c r="BE14" s="220">
        <f>IF(ISNUMBER(BB14/BA14),BB14/BA14, " - ")</f>
        <v>2.3137254901960786</v>
      </c>
      <c r="BF14" s="220">
        <f>IF(ISNUMBER(BC14/BA14),BC14/BA14, " - ")</f>
        <v>0.45994397759103639</v>
      </c>
      <c r="BG14" s="221">
        <f>IF(ISNUMBER((AY14+AZ14)/BA14),(AY14+AZ14)/BA14," - ")</f>
        <v>3.3137254901960786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1573</v>
      </c>
      <c r="J17" s="196">
        <v>1693</v>
      </c>
      <c r="K17" s="196">
        <v>1735</v>
      </c>
      <c r="L17" s="196">
        <v>1557</v>
      </c>
      <c r="M17" s="196">
        <v>284</v>
      </c>
      <c r="N17" s="196">
        <v>1058</v>
      </c>
      <c r="O17" s="194">
        <v>42</v>
      </c>
      <c r="P17" s="196">
        <v>107</v>
      </c>
      <c r="Q17" s="196">
        <v>136</v>
      </c>
      <c r="R17" s="196">
        <v>523</v>
      </c>
      <c r="S17" s="196">
        <v>1251</v>
      </c>
      <c r="T17" s="196">
        <v>1505</v>
      </c>
      <c r="U17" s="196">
        <v>1664</v>
      </c>
      <c r="V17" s="196">
        <v>1216</v>
      </c>
      <c r="W17" s="196">
        <v>342</v>
      </c>
      <c r="X17" s="202">
        <v>824</v>
      </c>
      <c r="Y17" s="215">
        <v>0</v>
      </c>
      <c r="Z17" s="196">
        <v>0</v>
      </c>
      <c r="AA17" s="196">
        <v>0</v>
      </c>
      <c r="AB17" s="196">
        <v>0</v>
      </c>
      <c r="AC17" s="196">
        <v>31</v>
      </c>
      <c r="AD17" s="196">
        <v>67</v>
      </c>
      <c r="AE17" s="196">
        <v>72</v>
      </c>
      <c r="AF17" s="202">
        <v>26</v>
      </c>
      <c r="AG17" s="215">
        <v>0</v>
      </c>
      <c r="AH17" s="196">
        <v>0</v>
      </c>
      <c r="AI17" s="196">
        <v>0</v>
      </c>
      <c r="AJ17" s="216">
        <v>0</v>
      </c>
      <c r="AK17" s="195">
        <v>21</v>
      </c>
      <c r="AL17" s="196">
        <v>71</v>
      </c>
      <c r="AM17" s="196">
        <v>70</v>
      </c>
      <c r="AN17" s="202">
        <v>22</v>
      </c>
      <c r="AO17" s="283">
        <v>7</v>
      </c>
      <c r="AP17" s="168">
        <v>7</v>
      </c>
      <c r="AQ17" s="168">
        <v>7</v>
      </c>
      <c r="AR17" s="168">
        <v>7</v>
      </c>
      <c r="AS17" s="381" t="s">
        <v>650</v>
      </c>
      <c r="AT17" s="216"/>
      <c r="AU17" s="215"/>
      <c r="AV17" s="216"/>
      <c r="AW17" s="215"/>
      <c r="AX17" s="216"/>
      <c r="AY17" s="136">
        <f t="shared" si="10"/>
        <v>1251</v>
      </c>
      <c r="AZ17" s="137">
        <f t="shared" si="10"/>
        <v>1505</v>
      </c>
      <c r="BA17" s="137">
        <f t="shared" si="10"/>
        <v>1664</v>
      </c>
      <c r="BB17" s="137">
        <f t="shared" si="10"/>
        <v>1216</v>
      </c>
      <c r="BC17" s="135">
        <f>IF(ISNUMBER(W17),W17," - ")</f>
        <v>342</v>
      </c>
      <c r="BD17" s="136">
        <f t="shared" ref="BD17:BD22" si="12">IF(ISNUMBER(BA17/AZ17),BA17/AZ17," - ")</f>
        <v>1.1056478405315615</v>
      </c>
      <c r="BE17" s="137">
        <f t="shared" ref="BE17:BE22" si="13">IF(ISNUMBER(BB17/BA17),BB17/BA17, " - ")</f>
        <v>0.73076923076923073</v>
      </c>
      <c r="BF17" s="137">
        <f t="shared" ref="BF17:BF22" si="14">IF(ISNUMBER(BC17/BA17),BC17/BA17, " - ")</f>
        <v>0.20552884615384615</v>
      </c>
      <c r="BG17" s="209">
        <f t="shared" si="11"/>
        <v>1.65625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223</v>
      </c>
      <c r="J18" s="196">
        <v>200</v>
      </c>
      <c r="K18" s="196">
        <v>174</v>
      </c>
      <c r="L18" s="196">
        <v>153</v>
      </c>
      <c r="M18" s="196">
        <v>15</v>
      </c>
      <c r="N18" s="196">
        <v>137</v>
      </c>
      <c r="O18" s="196">
        <v>0</v>
      </c>
      <c r="P18" s="196">
        <v>0</v>
      </c>
      <c r="Q18" s="196">
        <v>0</v>
      </c>
      <c r="R18" s="196">
        <v>0</v>
      </c>
      <c r="S18" s="196">
        <v>111</v>
      </c>
      <c r="T18" s="196">
        <v>128</v>
      </c>
      <c r="U18" s="196">
        <v>118</v>
      </c>
      <c r="V18" s="196">
        <v>121</v>
      </c>
      <c r="W18" s="196">
        <v>10</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111</v>
      </c>
      <c r="AZ18" s="139">
        <f t="shared" si="15"/>
        <v>128</v>
      </c>
      <c r="BA18" s="139">
        <f t="shared" si="15"/>
        <v>118</v>
      </c>
      <c r="BB18" s="139">
        <f t="shared" si="15"/>
        <v>121</v>
      </c>
      <c r="BC18" s="135">
        <f>IF(ISNUMBER(W18),W18," - ")</f>
        <v>10</v>
      </c>
      <c r="BD18" s="136">
        <f>IF(ISNUMBER(BA18/AZ18),BA18/AZ18," - ")</f>
        <v>0.921875</v>
      </c>
      <c r="BE18" s="137">
        <f>IF(ISNUMBER(BB18/BA18),BB18/BA18, " - ")</f>
        <v>1.0254237288135593</v>
      </c>
      <c r="BF18" s="137">
        <f>IF(ISNUMBER(BC18/BA18),BC18/BA18, " - ")</f>
        <v>8.4745762711864403E-2</v>
      </c>
      <c r="BG18" s="209">
        <f>IF(ISNUMBER((AY18+AZ18)/BA18),(AY18+AZ18)/BA18," - ")</f>
        <v>2.0254237288135593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1796</v>
      </c>
      <c r="J23" s="197">
        <f t="shared" si="21"/>
        <v>1893</v>
      </c>
      <c r="K23" s="197">
        <f t="shared" si="21"/>
        <v>1909</v>
      </c>
      <c r="L23" s="197">
        <f t="shared" si="21"/>
        <v>1710</v>
      </c>
      <c r="M23" s="197">
        <f t="shared" si="21"/>
        <v>299</v>
      </c>
      <c r="N23" s="197">
        <f t="shared" si="21"/>
        <v>1195</v>
      </c>
      <c r="O23" s="197">
        <f t="shared" si="21"/>
        <v>42</v>
      </c>
      <c r="P23" s="197">
        <f t="shared" si="21"/>
        <v>107</v>
      </c>
      <c r="Q23" s="197">
        <f t="shared" si="21"/>
        <v>136</v>
      </c>
      <c r="R23" s="197">
        <f t="shared" si="21"/>
        <v>523</v>
      </c>
      <c r="S23" s="197">
        <f t="shared" si="21"/>
        <v>1362</v>
      </c>
      <c r="T23" s="197">
        <f t="shared" si="21"/>
        <v>1633</v>
      </c>
      <c r="U23" s="197">
        <f t="shared" si="21"/>
        <v>1782</v>
      </c>
      <c r="V23" s="197">
        <f t="shared" si="21"/>
        <v>1337</v>
      </c>
      <c r="W23" s="197">
        <f t="shared" si="21"/>
        <v>352</v>
      </c>
      <c r="X23" s="197">
        <f t="shared" si="21"/>
        <v>894</v>
      </c>
      <c r="Y23" s="197">
        <f t="shared" si="21"/>
        <v>0</v>
      </c>
      <c r="Z23" s="197">
        <f t="shared" si="21"/>
        <v>0</v>
      </c>
      <c r="AA23" s="197">
        <f t="shared" si="21"/>
        <v>0</v>
      </c>
      <c r="AB23" s="197">
        <f t="shared" si="21"/>
        <v>0</v>
      </c>
      <c r="AC23" s="197">
        <f t="shared" si="21"/>
        <v>31</v>
      </c>
      <c r="AD23" s="197">
        <f t="shared" si="21"/>
        <v>67</v>
      </c>
      <c r="AE23" s="197">
        <f t="shared" si="21"/>
        <v>72</v>
      </c>
      <c r="AF23" s="197">
        <f t="shared" si="21"/>
        <v>26</v>
      </c>
      <c r="AG23" s="197">
        <f t="shared" si="21"/>
        <v>0</v>
      </c>
      <c r="AH23" s="197">
        <f t="shared" si="21"/>
        <v>0</v>
      </c>
      <c r="AI23" s="197">
        <f t="shared" si="21"/>
        <v>0</v>
      </c>
      <c r="AJ23" s="197">
        <f t="shared" si="21"/>
        <v>0</v>
      </c>
      <c r="AK23" s="197">
        <f t="shared" si="21"/>
        <v>21</v>
      </c>
      <c r="AL23" s="197">
        <f t="shared" si="21"/>
        <v>71</v>
      </c>
      <c r="AM23" s="197">
        <f t="shared" si="21"/>
        <v>70</v>
      </c>
      <c r="AN23" s="197">
        <f t="shared" si="21"/>
        <v>22</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1362</v>
      </c>
      <c r="AZ23" s="197">
        <f>SUBTOTAL(9,AZ15:AZ22)</f>
        <v>1633</v>
      </c>
      <c r="BA23" s="197">
        <f>SUBTOTAL(9,BA15:BA22)</f>
        <v>1782</v>
      </c>
      <c r="BB23" s="197">
        <f>SUBTOTAL(9,BB15:BB22)</f>
        <v>1337</v>
      </c>
      <c r="BC23" s="197">
        <f>SUBTOTAL(9,BC15:BC22)</f>
        <v>352</v>
      </c>
      <c r="BD23" s="219">
        <f>IF(ISNUMBER(BA23/AZ23),BA23/AZ23," - ")</f>
        <v>1.0912431108389467</v>
      </c>
      <c r="BE23" s="220">
        <f>IF(ISNUMBER(BB23/BA23),BB23/BA23, " - ")</f>
        <v>0.75028058361391692</v>
      </c>
      <c r="BF23" s="220">
        <f>IF(ISNUMBER(BC23/BA23),BC23/BA23, " - ")</f>
        <v>0.19753086419753085</v>
      </c>
      <c r="BG23" s="221">
        <f>IF(ISNUMBER((AY23+AZ23)/BA23),(AY23+AZ23)/BA23," - ")</f>
        <v>1.680695847362514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7383</v>
      </c>
      <c r="J31" s="144">
        <f t="shared" si="36"/>
        <v>3863</v>
      </c>
      <c r="K31" s="144">
        <f t="shared" si="36"/>
        <v>3301</v>
      </c>
      <c r="L31" s="144">
        <f t="shared" si="36"/>
        <v>7982</v>
      </c>
      <c r="M31" s="144">
        <f t="shared" si="36"/>
        <v>622</v>
      </c>
      <c r="N31" s="144">
        <f t="shared" si="36"/>
        <v>1977</v>
      </c>
      <c r="O31" s="144">
        <f t="shared" si="36"/>
        <v>669</v>
      </c>
      <c r="P31" s="144">
        <f t="shared" si="36"/>
        <v>471</v>
      </c>
      <c r="Q31" s="144">
        <f t="shared" si="36"/>
        <v>365</v>
      </c>
      <c r="R31" s="144">
        <f t="shared" si="36"/>
        <v>8228</v>
      </c>
      <c r="S31" s="144">
        <f t="shared" si="36"/>
        <v>5320</v>
      </c>
      <c r="T31" s="144">
        <f t="shared" si="36"/>
        <v>3093</v>
      </c>
      <c r="U31" s="144">
        <f t="shared" si="36"/>
        <v>3320</v>
      </c>
      <c r="V31" s="144">
        <f t="shared" si="36"/>
        <v>5217</v>
      </c>
      <c r="W31" s="144">
        <f t="shared" si="36"/>
        <v>720</v>
      </c>
      <c r="X31" s="144">
        <f t="shared" si="36"/>
        <v>1715</v>
      </c>
      <c r="Y31" s="144">
        <f t="shared" si="36"/>
        <v>492</v>
      </c>
      <c r="Z31" s="144">
        <f t="shared" si="36"/>
        <v>356</v>
      </c>
      <c r="AA31" s="144">
        <f t="shared" si="36"/>
        <v>331</v>
      </c>
      <c r="AB31" s="144">
        <f t="shared" si="36"/>
        <v>517</v>
      </c>
      <c r="AC31" s="144">
        <f t="shared" si="36"/>
        <v>31</v>
      </c>
      <c r="AD31" s="144">
        <f t="shared" si="36"/>
        <v>67</v>
      </c>
      <c r="AE31" s="144">
        <f t="shared" si="36"/>
        <v>72</v>
      </c>
      <c r="AF31" s="144">
        <f t="shared" si="36"/>
        <v>26</v>
      </c>
      <c r="AG31" s="144">
        <f t="shared" si="36"/>
        <v>248</v>
      </c>
      <c r="AH31" s="144">
        <f t="shared" si="36"/>
        <v>249</v>
      </c>
      <c r="AI31" s="144">
        <f t="shared" si="36"/>
        <v>247</v>
      </c>
      <c r="AJ31" s="144">
        <f t="shared" si="36"/>
        <v>250</v>
      </c>
      <c r="AK31" s="144">
        <f t="shared" si="36"/>
        <v>21</v>
      </c>
      <c r="AL31" s="144">
        <f t="shared" si="36"/>
        <v>71</v>
      </c>
      <c r="AM31" s="144">
        <f t="shared" si="36"/>
        <v>70</v>
      </c>
      <c r="AN31" s="224">
        <f t="shared" si="36"/>
        <v>22</v>
      </c>
      <c r="AO31" s="225">
        <v>8</v>
      </c>
      <c r="AP31" s="225">
        <v>7</v>
      </c>
      <c r="AQ31" s="225">
        <v>7</v>
      </c>
      <c r="AR31" s="225">
        <v>7</v>
      </c>
      <c r="AS31" s="166">
        <f t="shared" si="36"/>
        <v>0</v>
      </c>
      <c r="AT31" s="166">
        <f t="shared" si="36"/>
        <v>0</v>
      </c>
      <c r="AU31" s="225"/>
      <c r="AV31" s="226"/>
      <c r="AW31" s="225"/>
      <c r="AX31" s="226"/>
      <c r="AY31" s="143">
        <f>SUBTOTAL(9,AY9:AY30)</f>
        <v>5568</v>
      </c>
      <c r="AZ31" s="144">
        <f>SUBTOTAL(9,AZ9:AZ30)</f>
        <v>3342</v>
      </c>
      <c r="BA31" s="144">
        <f>SUBTOTAL(9,BA9:BA30)</f>
        <v>3567</v>
      </c>
      <c r="BB31" s="144">
        <f>SUBTOTAL(9,BB9:BB30)</f>
        <v>5467</v>
      </c>
      <c r="BC31" s="145">
        <f>SUBTOTAL(9,BC9:BC30)</f>
        <v>1173</v>
      </c>
      <c r="BD31" s="227">
        <f>IF(ISNUMBER(BA31/AZ31),BA31/AZ31," - ")</f>
        <v>1.0673249551166966</v>
      </c>
      <c r="BE31" s="224">
        <f>IF(ISNUMBER(BB31/BA31),BB31/BA31, " - ")</f>
        <v>1.5326604990187833</v>
      </c>
      <c r="BF31" s="224">
        <f>IF(ISNUMBER(BC31/BA31),BC31/BA31, " - ")</f>
        <v>0.32884777123633308</v>
      </c>
      <c r="BG31" s="145">
        <f>IF(ISNUMBER((AY31+AZ31)/BA31),(AY31+AZ31)/BA31," - ")</f>
        <v>2.4978973927670309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q/ve6SuPJa77AyHi2CDddfq0mj9q/kqOiq/cflWz34Nr+4iaibVtV3c32F/gQdQSRQvXq5HMYFvo21sE8Y6A==" saltValue="kIGpFoNfHSAOksjm7nPE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tdrexN9f6+N5Lj/5FDBIximF29xn4QUK/mXzTVRdIVVbFtoNE3SptOiYXUgU5/c83xNI5wEX2PpoS2eOoFgg==" saltValue="5qISizCsGs/uIE3GJ2yl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NAVALCARNERO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82</v>
      </c>
      <c r="G10" s="543">
        <f>IF(ISNUMBER(Datos!I10),Datos!I10," - ")</f>
        <v>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2</v>
      </c>
      <c r="AD10" s="549"/>
      <c r="AE10" s="563"/>
      <c r="AF10" s="551">
        <f>IF(ISNUMBER(Datos!L10),Datos!L10,"-")</f>
        <v>86</v>
      </c>
      <c r="AG10" s="549"/>
      <c r="AH10" s="549"/>
      <c r="AI10" s="549"/>
      <c r="AJ10" s="549"/>
      <c r="AK10" s="549"/>
      <c r="AL10" s="550"/>
      <c r="AM10" s="766">
        <f>IF(ISNUMBER(Datos!R10),Datos!R10," - ")</f>
        <v>94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0.76470588235294112</v>
      </c>
      <c r="BH10" s="764">
        <f>IF(ISNUMBER(((Datos!L10/Datos!K10)*11)/factor_trimestre),((Datos!L10/Datos!K10)*11)/factor_trimestre," - ")</f>
        <v>19.846153846153843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6.8181818181818177E-2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356</v>
      </c>
      <c r="O12" s="549"/>
      <c r="P12" s="549"/>
      <c r="Q12" s="547">
        <f>IF(ISNUMBER(Datos!P12),Datos!P12,0)</f>
        <v>356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517</v>
      </c>
      <c r="AI12" s="549" t="str">
        <f>IF(ISNUMBER(Datos!CD12),Datos!CD12,"-")</f>
        <v>-</v>
      </c>
      <c r="AJ12" s="549" t="str">
        <f>IF(ISNUMBER(Datos!EN12),Datos!EN12," - ")</f>
        <v xml:space="preserve"> - </v>
      </c>
      <c r="AK12" s="549"/>
      <c r="AL12" s="550"/>
      <c r="AM12" s="766">
        <f>IF(ISNUMBER(Datos!R12),Datos!R12," - ")</f>
        <v>7611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317</v>
      </c>
      <c r="BD12" s="693">
        <f>IF(ISNUMBER(Datos!N12),Datos!N12," - ")</f>
        <v>779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0.74058033780857513</v>
      </c>
      <c r="BH12" s="764">
        <f>IF(ISNUMBER(((IF(J_V="SI",Datos!L12/Datos!K12,(Datos!L12+Datos!AB12)/(Datos!K12+Datos!AA12)))*11)/factor_trimestre),((IF(J_V="SI",Datos!L12/Datos!K12,(Datos!L12+Datos!AB12)/(Datos!K12+Datos!AA12)))*11)/factor_trimestre," - ")</f>
        <v>11.759649122807017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1.7241379310344827E-2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82</v>
      </c>
      <c r="G14" s="1197">
        <f t="shared" si="1"/>
        <v>82</v>
      </c>
      <c r="H14" s="1198">
        <f t="shared" si="1"/>
        <v>0</v>
      </c>
      <c r="I14" s="1197">
        <f t="shared" si="1"/>
        <v>0</v>
      </c>
      <c r="J14" s="1164">
        <f t="shared" si="1"/>
        <v>0</v>
      </c>
      <c r="K14" s="1164">
        <f t="shared" si="1"/>
        <v>0</v>
      </c>
      <c r="L14" s="1198">
        <f t="shared" si="1"/>
        <v>0</v>
      </c>
      <c r="M14" s="1198">
        <f t="shared" si="1"/>
        <v>0</v>
      </c>
      <c r="N14" s="1198">
        <f t="shared" si="1"/>
        <v>356</v>
      </c>
      <c r="O14" s="1199">
        <f t="shared" si="1"/>
        <v>0</v>
      </c>
      <c r="P14" s="1199">
        <f t="shared" si="1"/>
        <v>0</v>
      </c>
      <c r="Q14" s="1198">
        <f t="shared" si="1"/>
        <v>364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229</v>
      </c>
      <c r="AD14" s="1198">
        <f t="shared" si="2"/>
        <v>0</v>
      </c>
      <c r="AE14" s="1198">
        <f t="shared" si="2"/>
        <v>0</v>
      </c>
      <c r="AF14" s="1198">
        <f t="shared" si="2"/>
        <v>86</v>
      </c>
      <c r="AG14" s="1198">
        <f t="shared" si="2"/>
        <v>0</v>
      </c>
      <c r="AH14" s="1198">
        <f t="shared" si="2"/>
        <v>517</v>
      </c>
      <c r="AI14" s="1198">
        <f t="shared" si="2"/>
        <v>0</v>
      </c>
      <c r="AJ14" s="1198">
        <f t="shared" si="2"/>
        <v>0</v>
      </c>
      <c r="AK14" s="1198">
        <f t="shared" si="2"/>
        <v>0</v>
      </c>
      <c r="AL14" s="1198">
        <f t="shared" si="2"/>
        <v>0</v>
      </c>
      <c r="AM14" s="1198">
        <f t="shared" si="2"/>
        <v>7705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323</v>
      </c>
      <c r="BD14" s="1198">
        <f t="shared" si="2"/>
        <v>782</v>
      </c>
      <c r="BE14" s="1198">
        <f t="shared" si="2"/>
        <v>0</v>
      </c>
      <c r="BF14" s="1198">
        <f t="shared" si="2"/>
        <v>0</v>
      </c>
      <c r="BG14" s="1198">
        <f>IF(ISNUMBER(Datos!K14/Datos!J14),Datos!K14/Datos!J14," - ")</f>
        <v>0.70659898477157357</v>
      </c>
      <c r="BH14" s="1202">
        <f>IF(ISNUMBER(((Datos!L14/Datos!K14)*11)/factor_trimestre),((Datos!L14/Datos!K14)*11)/factor_trimestre," - ")</f>
        <v>13.517241379310343</v>
      </c>
      <c r="BI14" s="1198">
        <f>IF(ISNUMBER('Resol  Asuntos'!D14/NºAsuntos!G14),'Resol  Asuntos'!D14/NºAsuntos!G14," - ")</f>
        <v>0.18746372605919906</v>
      </c>
      <c r="BJ14" s="1198" t="str">
        <f>IF(ISNUMBER(Datos!CI14/Datos!CJ14),Datos!CI14/Datos!CJ14," - ")</f>
        <v xml:space="preserve"> - </v>
      </c>
      <c r="BK14" s="1198">
        <f>SUBTOTAL(9,BK8:BK13)</f>
        <v>0</v>
      </c>
      <c r="BL14" s="1198">
        <f>IF(ISNUMBER((I14-AB14+L14)/(F14)),(I14-AB14+L14)/(F14)," - ")</f>
        <v>-0.15853658536585366</v>
      </c>
      <c r="BM14" s="1203">
        <f>SUBTOTAL(9,BM9:BM13)</f>
        <v>8.5423197492163011E-2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1599</v>
      </c>
      <c r="G17" s="743">
        <f>IF(ISNUMBER(IF(D_I="SI",Datos!I17,Datos!I17+Datos!AC17)),IF(D_I="SI",Datos!I17,Datos!I17+Datos!AC17)," - ")</f>
        <v>1573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1735</v>
      </c>
      <c r="AC17" s="240">
        <f>IF(ISNUMBER(Datos!Q17),Datos!Q17," - ")</f>
        <v>136</v>
      </c>
      <c r="AD17" s="374"/>
      <c r="AE17" s="562"/>
      <c r="AF17" s="741">
        <f>IF(ISNUMBER(IF(D_I="SI",Datos!L17,Datos!L17+Datos!AF17)),IF(D_I="SI",Datos!L17,Datos!L17+Datos!AF17)," - ")</f>
        <v>1557</v>
      </c>
      <c r="AG17" s="374"/>
      <c r="AH17" s="374"/>
      <c r="AI17" s="374"/>
      <c r="AJ17" s="549"/>
      <c r="AK17" s="374"/>
      <c r="AL17" s="545"/>
      <c r="AM17" s="375">
        <f>IF(ISNUMBER(Datos!R17),Datos!R17," - ")</f>
        <v>523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284</v>
      </c>
      <c r="BD17" s="243">
        <f>IF(ISNUMBER(Datos!N17),Datos!N17," - ")</f>
        <v>1058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1.0248080330773774</v>
      </c>
      <c r="BH17" s="764">
        <f>IF(ISNUMBER(((IF(D_I="SI",Datos!L17/Datos!K17,(Datos!L17+Datos!AF17)/(Datos!K17+Datos!AE17)))*11)/factor_trimestre),((IF(D_I="SI",Datos!L17/Datos!K17,(Datos!L17+Datos!AF17)/(Datos!K17+Datos!AE17)))*11)/factor_trimestre," - ")</f>
        <v>2.6922190201729106</v>
      </c>
      <c r="BI17" s="266">
        <f>IF(ISNUMBER('Resol  Asuntos'!D17/NºAsuntos!G17),'Resol  Asuntos'!D17/NºAsuntos!G17," - ")</f>
        <v>0.16368876080691644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174</v>
      </c>
      <c r="AC18" s="547">
        <f>IF(ISNUMBER(Datos!Q18),Datos!Q18," - ")</f>
        <v>0</v>
      </c>
      <c r="AD18" s="549"/>
      <c r="AE18" s="562"/>
      <c r="AF18" s="551">
        <f>IF(ISNUMBER(Datos!L18),Datos!L18,"-")</f>
        <v>153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v>
      </c>
      <c r="BH18" s="764">
        <f>IF(ISNUMBER(((IF(D_I="SI",Datos!L18/Datos!K18,(Datos!L18+Datos!AF18)/(Datos!K18+Datos!AE18)))*11)/factor_trimestre),((IF(D_I="SI",Datos!L18/Datos!K18,(Datos!L18+Datos!AF18)/(Datos!K18+Datos!AE18)))*11)/factor_trimestre," - ")</f>
        <v>2.6379310344827589</v>
      </c>
      <c r="BI18" s="763">
        <f>IF(ISNUMBER('Resol  Asuntos'!D18/NºAsuntos!G18),'Resol  Asuntos'!D18/NºAsuntos!G18," - ")</f>
        <v>8.6206896551724144E-2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1599</v>
      </c>
      <c r="G23" s="1197">
        <f>SUBTOTAL(9,G16:G22)</f>
        <v>1796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1909</v>
      </c>
      <c r="AC23" s="1198">
        <f t="shared" si="5"/>
        <v>136</v>
      </c>
      <c r="AD23" s="1198">
        <f t="shared" si="5"/>
        <v>0</v>
      </c>
      <c r="AE23" s="1198">
        <f t="shared" si="5"/>
        <v>0</v>
      </c>
      <c r="AF23" s="1198">
        <f t="shared" si="5"/>
        <v>1710</v>
      </c>
      <c r="AG23" s="1198">
        <f t="shared" si="5"/>
        <v>0</v>
      </c>
      <c r="AH23" s="1198">
        <f t="shared" si="5"/>
        <v>0</v>
      </c>
      <c r="AI23" s="1198">
        <f t="shared" si="5"/>
        <v>0</v>
      </c>
      <c r="AJ23" s="1198">
        <f t="shared" si="5"/>
        <v>0</v>
      </c>
      <c r="AK23" s="1198">
        <f t="shared" si="5"/>
        <v>0</v>
      </c>
      <c r="AL23" s="1198">
        <f t="shared" si="5"/>
        <v>0</v>
      </c>
      <c r="AM23" s="1198">
        <f t="shared" si="5"/>
        <v>523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299</v>
      </c>
      <c r="BD23" s="1198">
        <f t="shared" si="5"/>
        <v>1195</v>
      </c>
      <c r="BE23" s="1198">
        <f t="shared" si="5"/>
        <v>0</v>
      </c>
      <c r="BF23" s="1198">
        <f t="shared" si="5"/>
        <v>0</v>
      </c>
      <c r="BG23" s="1198">
        <f>IF(ISNUMBER(Datos!K23/Datos!J23),Datos!K23/Datos!J23," - ")</f>
        <v>1.0084521922873746</v>
      </c>
      <c r="BH23" s="1202">
        <f>IF(ISNUMBER(((Datos!L23/Datos!K23)*11)/factor_trimestre),((Datos!L23/Datos!K23)*11)/factor_trimestre," - ")</f>
        <v>2.6872708224201154</v>
      </c>
      <c r="BI23" s="1198">
        <f>SUBTOTAL(9,BI16:BI22)</f>
        <v>0.24989565735864058</v>
      </c>
      <c r="BJ23" s="1198">
        <f>SUBTOTAL(9,BJ16:BJ22)</f>
        <v>0</v>
      </c>
      <c r="BK23" s="1198">
        <f>SUBTOTAL(9,BK16:BK22)</f>
        <v>0</v>
      </c>
      <c r="BL23" s="1198">
        <f>IF(ISNUMBER((I23-AB23+L23)/(F23)),(I23-AB23+L23)/(F23)," - ")</f>
        <v>-1.1938711694809256</v>
      </c>
      <c r="BM23" s="1205">
        <f>IF(ISNUMBER((Datos!P23-Datos!Q23)/(Datos!R23-Datos!P23+Datos!Q23)),(Datos!P23-Datos!Q23)/(Datos!R23-Datos!P23+Datos!Q23)," - ")</f>
        <v>-5.2536231884057968E-2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1681</v>
      </c>
      <c r="G31" s="1117">
        <f t="shared" si="18"/>
        <v>1878</v>
      </c>
      <c r="H31" s="1119">
        <f t="shared" si="18"/>
        <v>0</v>
      </c>
      <c r="I31" s="1117">
        <f t="shared" si="18"/>
        <v>0</v>
      </c>
      <c r="J31" s="1119">
        <f t="shared" si="18"/>
        <v>0</v>
      </c>
      <c r="K31" s="1119">
        <f t="shared" si="18"/>
        <v>0</v>
      </c>
      <c r="L31" s="1180">
        <f t="shared" si="18"/>
        <v>0</v>
      </c>
      <c r="M31" s="1180">
        <f t="shared" si="18"/>
        <v>0</v>
      </c>
      <c r="N31" s="1180">
        <f t="shared" si="18"/>
        <v>356</v>
      </c>
      <c r="O31" s="1180">
        <f t="shared" si="18"/>
        <v>0</v>
      </c>
      <c r="P31" s="1180">
        <f t="shared" si="18"/>
        <v>0</v>
      </c>
      <c r="Q31" s="1119">
        <f t="shared" si="18"/>
        <v>471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1922</v>
      </c>
      <c r="AC31" s="1118">
        <f t="shared" si="19"/>
        <v>365</v>
      </c>
      <c r="AD31" s="1118">
        <f t="shared" si="19"/>
        <v>0</v>
      </c>
      <c r="AE31" s="1118">
        <f t="shared" si="19"/>
        <v>0</v>
      </c>
      <c r="AF31" s="1125">
        <f t="shared" si="19"/>
        <v>1796</v>
      </c>
      <c r="AG31" s="1125">
        <f t="shared" si="19"/>
        <v>0</v>
      </c>
      <c r="AH31" s="1125">
        <f t="shared" si="19"/>
        <v>517</v>
      </c>
      <c r="AI31" s="1125">
        <f t="shared" si="19"/>
        <v>0</v>
      </c>
      <c r="AJ31" s="1118">
        <f t="shared" si="19"/>
        <v>0</v>
      </c>
      <c r="AK31" s="1125">
        <f t="shared" si="19"/>
        <v>0</v>
      </c>
      <c r="AL31" s="1125">
        <f t="shared" si="19"/>
        <v>0</v>
      </c>
      <c r="AM31" s="1125">
        <f t="shared" si="19"/>
        <v>8228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622</v>
      </c>
      <c r="BD31" s="1117">
        <f t="shared" si="19"/>
        <v>1977</v>
      </c>
      <c r="BE31" s="1117">
        <f t="shared" si="19"/>
        <v>0</v>
      </c>
      <c r="BF31" s="1127">
        <f t="shared" si="19"/>
        <v>0</v>
      </c>
      <c r="BG31" s="1223">
        <f>IF(ISNUMBER(Datos!K31/Datos!J31),Datos!K31/Datos!J31," - ")</f>
        <v>0.85451721460005181</v>
      </c>
      <c r="BH31" s="1223">
        <f>IF(ISNUMBER(((Datos!L31/Datos!K31)*11)/factor_trimestre),((Datos!L31/Datos!K31)*11)/factor_trimestre," - ")</f>
        <v>7.2541654044229027</v>
      </c>
      <c r="BI31" s="1103">
        <f>IF(ISNUMBER(Datos!J31/Datos!I31),Datos!J31/Datos!I31," - ")</f>
        <v>0.52322903968576462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-1.1433670434265317</v>
      </c>
      <c r="BM31" s="1188">
        <f>IF(ISNUMBER((Datos!P31-Datos!Q31+R31)/(Datos!R31-Datos!P31+Datos!Q31-R31)),(Datos!P31-Datos!Q31+R31)/(Datos!R31-Datos!P31+Datos!Q31-R31)," - ")</f>
        <v>1.3050972666830829E-2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805.38305586017054</v>
      </c>
      <c r="G33" s="674">
        <f>IF(ISNUMBER(STDEV(G8:G30)),STDEV(G8:G30),"-")</f>
        <v>790.33323291357237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873.1375280316056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161.10954569573371</v>
      </c>
      <c r="BD33" s="673"/>
      <c r="BE33" s="673">
        <f>IF(ISNUMBER(STDEV(BE8:BE30)),STDEV(BE8:BE30),"-")</f>
        <v>0</v>
      </c>
      <c r="BF33" s="678">
        <f>IF(ISNUMBER(STDEV(BF8:BF30)),STDEV(BF8:BF30),"-")</f>
        <v>0</v>
      </c>
      <c r="BG33" s="1052">
        <f>IF(ISNUMBER(STDEV(BG8:BG30)),STDEV(BG8:BG30),"-")</f>
        <v>0.13844732943642621</v>
      </c>
      <c r="BH33" s="1058">
        <f>IF(ISNUMBER(STDEV(BH8:BH30)),STDEV(BH8:BH30),"-")</f>
        <v>7.28905515080241</v>
      </c>
      <c r="BI33" s="273">
        <f>IF(ISNUMBER(STDEV(BI8:BI30)),STDEV(BI8:BI30),"-")</f>
        <v>6.7666473269309926E-2</v>
      </c>
      <c r="BJ33" s="244" t="str">
        <f>IF(ISNUMBER(BL33/BM33),BL33/BM33," - ")</f>
        <v xml:space="preserve"> - </v>
      </c>
      <c r="BK33" s="709"/>
      <c r="BL33" s="681">
        <f>IF(ISNUMBER(STDEV(BL8:BL30)),STDEV(BL8:BL30),"-")</f>
        <v>0.73209210522472135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oj1Pd3yR8rPYIXTZG5jw8N6FoJpy7UiubNEcNzaKCjL2fKZ2SeHjJ47ZV0w+gA21fcfcbK7T0+0JcTu5MCvJQ==" saltValue="gwX3Yo4hDYY1V7weL9hi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NAVALCARNERO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82</v>
      </c>
      <c r="G10" s="552">
        <f>IF(ISNUMBER(Datos!I10),Datos!I10," - ")</f>
        <v>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2</v>
      </c>
      <c r="AA10" s="551">
        <f>IF(ISNUMBER(Datos!L10),Datos!L10,"-")</f>
        <v>86</v>
      </c>
      <c r="AB10" s="549"/>
      <c r="AC10" s="549"/>
      <c r="AD10" s="563"/>
      <c r="AE10" s="563">
        <f>IF(ISNUMBER(Datos!R10),Datos!R10," - ")</f>
        <v>94</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19.846153846153843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6.8181818181818177E-2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227</v>
      </c>
      <c r="AA12" s="551" t="str">
        <f>IF(ISNUMBER(IF(J_V="SI",Datos!L12,Datos!L12+Datos!AB12)-IF(Monitorios="SI",Datos!CD12,0)),
                          IF(J_V="SI",Datos!L12,Datos!L12+Datos!AB12)-IF(Monitorios="SI",Datos!CD12,0),
                          " - ")</f>
        <v xml:space="preserve"> - </v>
      </c>
      <c r="AB12" s="549"/>
      <c r="AC12" s="549"/>
      <c r="AD12" s="563"/>
      <c r="AE12" s="563">
        <f>IF(ISNUMBER(Datos!R12),Datos!R12," - ")</f>
        <v>7611</v>
      </c>
      <c r="AF12" s="693" t="str">
        <f>IF(ISNUMBER(Datos!BV12),Datos!BV12," - ")</f>
        <v xml:space="preserve"> - </v>
      </c>
      <c r="AG12" s="552" t="str">
        <f>IF(ISNUMBER(Datos!DV12),Datos!DV12," - ")</f>
        <v xml:space="preserve"> - </v>
      </c>
      <c r="AH12" s="553"/>
      <c r="AI12" s="554"/>
      <c r="AJ12" s="552">
        <f>IF(ISNUMBER(Datos!M12),Datos!M12," - ")</f>
        <v>317</v>
      </c>
      <c r="AK12" s="693">
        <f>IF(ISNUMBER(Datos!N12),Datos!N12," - ")</f>
        <v>779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11.759649122807017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1.7241379310344827E-2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82</v>
      </c>
      <c r="G14" s="1197">
        <f>SUBTOTAL(9,G8:G13)</f>
        <v>82</v>
      </c>
      <c r="H14" s="1211"/>
      <c r="I14" s="1197">
        <f t="shared" ref="I14:N14" si="1">SUBTOTAL(9,I8:I13)</f>
        <v>0</v>
      </c>
      <c r="J14" s="1164">
        <f t="shared" si="1"/>
        <v>0</v>
      </c>
      <c r="K14" s="1211">
        <f t="shared" si="1"/>
        <v>0</v>
      </c>
      <c r="L14" s="1211">
        <f t="shared" si="1"/>
        <v>0</v>
      </c>
      <c r="M14" s="1211">
        <f t="shared" si="1"/>
        <v>0</v>
      </c>
      <c r="N14" s="1211">
        <f t="shared" si="1"/>
        <v>364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229</v>
      </c>
      <c r="AA14" s="1199">
        <f t="shared" si="3"/>
        <v>86</v>
      </c>
      <c r="AB14" s="1199">
        <f t="shared" si="3"/>
        <v>0</v>
      </c>
      <c r="AC14" s="1199">
        <f t="shared" si="3"/>
        <v>0</v>
      </c>
      <c r="AD14" s="1199">
        <f t="shared" si="3"/>
        <v>0</v>
      </c>
      <c r="AE14" s="1199">
        <f t="shared" si="3"/>
        <v>7705</v>
      </c>
      <c r="AF14" s="1211">
        <f t="shared" si="3"/>
        <v>0</v>
      </c>
      <c r="AG14" s="1211">
        <f t="shared" si="3"/>
        <v>0</v>
      </c>
      <c r="AH14" s="1211">
        <f t="shared" si="3"/>
        <v>0</v>
      </c>
      <c r="AI14" s="1211">
        <f t="shared" si="3"/>
        <v>0</v>
      </c>
      <c r="AJ14" s="1211">
        <f t="shared" si="3"/>
        <v>323</v>
      </c>
      <c r="AK14" s="1211">
        <f t="shared" si="3"/>
        <v>782</v>
      </c>
      <c r="AL14" s="1211">
        <f t="shared" si="3"/>
        <v>0</v>
      </c>
      <c r="AM14" s="1211">
        <f t="shared" si="3"/>
        <v>0</v>
      </c>
      <c r="AN14" s="1211">
        <f t="shared" si="3"/>
        <v>0</v>
      </c>
      <c r="AO14" s="1203">
        <f>IF(ISNUMBER(((NºAsuntos!I14/NºAsuntos!G14)*11)/factor_trimestre),((NºAsuntos!I14/NºAsuntos!G14)*11)/factor_trimestre," - ")</f>
        <v>11.82066163668021</v>
      </c>
      <c r="AP14" s="1213" t="str">
        <f>IF(ISNUMBER(Datos!CI14/Datos!CJ14),Datos!CI14/Datos!CJ14," - ")</f>
        <v xml:space="preserve"> - </v>
      </c>
      <c r="AQ14" s="1236">
        <f t="shared" ref="AQ14:AV14" si="4">SUBTOTAL(9,AQ9:AQ13)</f>
        <v>0</v>
      </c>
      <c r="AR14" s="1236">
        <f t="shared" si="4"/>
        <v>8.5423197492163011E-2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1599</v>
      </c>
      <c r="G17" s="552">
        <f>IF(ISNUMBER(IF(D_I="SI",Datos!I17,Datos!I17+Datos!AC17)),IF(D_I="SI",Datos!I17,Datos!I17+Datos!AC17)," - ")</f>
        <v>1573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1735</v>
      </c>
      <c r="Z17" s="805">
        <f>IF(ISNUMBER(Datos!Q17),Datos!Q17," - ")</f>
        <v>136</v>
      </c>
      <c r="AA17" s="551">
        <f>IF(ISNUMBER(IF(D_I="SI",Datos!L17,Datos!L17+Datos!AF17)),IF(D_I="SI",Datos!L17,Datos!L17+Datos!AF17)," - ")</f>
        <v>1557</v>
      </c>
      <c r="AB17" s="549"/>
      <c r="AC17" s="549"/>
      <c r="AD17" s="563"/>
      <c r="AE17" s="563">
        <f>IF(ISNUMBER(Datos!R17),Datos!R17," - ")</f>
        <v>523</v>
      </c>
      <c r="AF17" s="693" t="str">
        <f>IF(ISNUMBER(Datos!BV17),Datos!BV17," - ")</f>
        <v xml:space="preserve"> - </v>
      </c>
      <c r="AG17" s="552"/>
      <c r="AH17" s="553"/>
      <c r="AI17" s="554"/>
      <c r="AJ17" s="552">
        <f>IF(ISNUMBER(Datos!M17),Datos!M17," - ")</f>
        <v>284</v>
      </c>
      <c r="AK17" s="693">
        <f>IF(ISNUMBER(Datos!N17),Datos!N17," - ")</f>
        <v>1058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2.6922190201729106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174</v>
      </c>
      <c r="Z18" s="805">
        <f>IF(ISNUMBER(Datos!Q18),Datos!Q18," - ")</f>
        <v>0</v>
      </c>
      <c r="AA18" s="551">
        <f>IF(ISNUMBER(Datos!L18),Datos!L18,"-")</f>
        <v>153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137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2.6379310344827589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1599</v>
      </c>
      <c r="G23" s="1197">
        <f>SUBTOTAL(9,G16:G22)</f>
        <v>1796</v>
      </c>
      <c r="H23" s="1240">
        <f>SUBTOTAL(9,H16:H22)</f>
        <v>0</v>
      </c>
      <c r="I23" s="1217">
        <f>SUBTOTAL(9,I16:I22)</f>
        <v>0</v>
      </c>
      <c r="J23" s="1164">
        <f>SUBTOTAL(9,J15:J22)</f>
        <v>0</v>
      </c>
      <c r="K23" s="1240">
        <f t="shared" ref="K23:S23" si="5">SUBTOTAL(9,K16:K22)</f>
        <v>0</v>
      </c>
      <c r="L23" s="1240">
        <f t="shared" si="5"/>
        <v>0</v>
      </c>
      <c r="M23" s="1240">
        <f t="shared" si="5"/>
        <v>0</v>
      </c>
      <c r="N23" s="1240">
        <f t="shared" si="5"/>
        <v>107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1909</v>
      </c>
      <c r="Z23" s="1240">
        <f t="shared" si="6"/>
        <v>136</v>
      </c>
      <c r="AA23" s="1240">
        <f t="shared" si="6"/>
        <v>1710</v>
      </c>
      <c r="AB23" s="1240">
        <f t="shared" si="6"/>
        <v>0</v>
      </c>
      <c r="AC23" s="1240">
        <f t="shared" si="6"/>
        <v>0</v>
      </c>
      <c r="AD23" s="1240">
        <f t="shared" si="6"/>
        <v>0</v>
      </c>
      <c r="AE23" s="1240">
        <f t="shared" si="6"/>
        <v>523</v>
      </c>
      <c r="AF23" s="1240">
        <f t="shared" si="6"/>
        <v>0</v>
      </c>
      <c r="AG23" s="1240">
        <f t="shared" si="6"/>
        <v>0</v>
      </c>
      <c r="AH23" s="1240">
        <f t="shared" si="6"/>
        <v>0</v>
      </c>
      <c r="AI23" s="1240">
        <f t="shared" si="6"/>
        <v>0</v>
      </c>
      <c r="AJ23" s="1240">
        <f t="shared" si="6"/>
        <v>299</v>
      </c>
      <c r="AK23" s="1240">
        <f t="shared" si="6"/>
        <v>1195</v>
      </c>
      <c r="AL23" s="1240">
        <f t="shared" si="6"/>
        <v>0</v>
      </c>
      <c r="AM23" s="1240">
        <f t="shared" si="6"/>
        <v>0</v>
      </c>
      <c r="AN23" s="1240">
        <f t="shared" si="6"/>
        <v>0</v>
      </c>
      <c r="AO23" s="1242">
        <f>IF(ISNUMBER(((NºAsuntos!I23/NºAsuntos!G23)*11)/factor_trimestre),((NºAsuntos!I23/NºAsuntos!G23)*11)/factor_trimestre," - ")</f>
        <v>2.6872708224201154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1681</v>
      </c>
      <c r="G31" s="1117">
        <f t="shared" si="12"/>
        <v>1878</v>
      </c>
      <c r="H31" s="1118">
        <f t="shared" si="12"/>
        <v>0</v>
      </c>
      <c r="I31" s="1117">
        <f t="shared" si="12"/>
        <v>0</v>
      </c>
      <c r="J31" s="1119">
        <f t="shared" si="12"/>
        <v>0</v>
      </c>
      <c r="K31" s="1117">
        <f t="shared" si="12"/>
        <v>0</v>
      </c>
      <c r="L31" s="1120">
        <f t="shared" si="12"/>
        <v>0</v>
      </c>
      <c r="M31" s="1117">
        <f t="shared" si="12"/>
        <v>0</v>
      </c>
      <c r="N31" s="1118">
        <f t="shared" si="12"/>
        <v>471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1922</v>
      </c>
      <c r="Z31" s="1124">
        <f t="shared" si="13"/>
        <v>365</v>
      </c>
      <c r="AA31" s="1125">
        <f t="shared" si="13"/>
        <v>1796</v>
      </c>
      <c r="AB31" s="1125">
        <f t="shared" si="13"/>
        <v>0</v>
      </c>
      <c r="AC31" s="1125">
        <f t="shared" si="13"/>
        <v>0</v>
      </c>
      <c r="AD31" s="1126">
        <f t="shared" si="13"/>
        <v>0</v>
      </c>
      <c r="AE31" s="1126">
        <f t="shared" si="13"/>
        <v>8228</v>
      </c>
      <c r="AF31" s="1127">
        <f t="shared" si="13"/>
        <v>0</v>
      </c>
      <c r="AG31" s="1128">
        <f t="shared" si="13"/>
        <v>0</v>
      </c>
      <c r="AH31" s="1129">
        <f t="shared" si="13"/>
        <v>0</v>
      </c>
      <c r="AI31" s="1127">
        <f t="shared" si="13"/>
        <v>0</v>
      </c>
      <c r="AJ31" s="1117">
        <f t="shared" si="13"/>
        <v>622</v>
      </c>
      <c r="AK31" s="1117">
        <f t="shared" si="13"/>
        <v>1977</v>
      </c>
      <c r="AL31" s="1117">
        <f t="shared" si="13"/>
        <v>0</v>
      </c>
      <c r="AM31" s="1130">
        <f t="shared" si="13"/>
        <v>0</v>
      </c>
      <c r="AN31" s="1120">
        <f>IF(ISNUMBER(Datos!K31/Datos!J31),Datos!K31/Datos!J31," - ")</f>
        <v>0.85451721460005181</v>
      </c>
      <c r="AO31" s="1120">
        <f>IF(ISNUMBER(FIND("06",Criterios!A8,1)),(IF(ISNUMBER(((Datos!R31/Datos!Q31)*11)/factor_trimestre),((Datos!R31/Datos!Q31)*11)/factor_trimestre," - ")),(IF(ISNUMBER(((Datos!L31/Datos!K31)*11)/factor_trimestre),((Datos!L31/Datos!K31)*11)/factor_trimestre," - ")))</f>
        <v>7.2541654044229027</v>
      </c>
      <c r="AP31" s="1131" t="str">
        <f>IF(ISNUMBER(Datos!CI31/Datos!CJ31),Datos!CI31/Datos!CJ31," - ")</f>
        <v xml:space="preserve"> - </v>
      </c>
      <c r="AQ31" s="1131">
        <f>IF(OR(ISNUMBER(FIND("01",Criterios!A8,1)),ISNUMBER(FIND("02",Criterios!A8,1)),ISNUMBER(FIND("03",Criterios!A8,1)),ISNUMBER(FIND("04",Criterios!A8,1))),(J31-Y31+K31)/(F31-K31),(I31-Y31+K31)/(F31-K31))</f>
        <v>-1.1433670434265317</v>
      </c>
      <c r="AR31" s="1131">
        <f>IF(ISNUMBER((Datos!P31-Datos!Q31+O31)/(Datos!R31-Datos!P31+Datos!Q31-O31)),(Datos!P31-Datos!Q31+O31)/(Datos!R31-Datos!P31+Datos!Q31-O31)," - ")</f>
        <v>1.3050972666830829E-2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805.38305586017054</v>
      </c>
      <c r="G33" s="674">
        <f>IF(ISNUMBER(STDEV(G8:G30)),STDEV(G8:G30),"-")</f>
        <v>790.33323291357237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161.10954569573371</v>
      </c>
      <c r="AK33" s="276"/>
      <c r="AL33" s="276">
        <f>IF(ISNUMBER(STDEV(AL8:AL30)),STDEV(AL8:AL30),"-")</f>
        <v>0</v>
      </c>
      <c r="AM33" s="278">
        <f>IF(ISNUMBER(STDEV(AM8:AM30)),STDEV(AM8:AM30),"-")</f>
        <v>0</v>
      </c>
      <c r="AN33" s="660">
        <f>IF(ISNUMBER(STDEV(AN8:AN30)),STDEV(AN8:AN30),"-")</f>
        <v>0</v>
      </c>
      <c r="AO33" s="661">
        <f>IF(ISNUMBER(STDEV(AO8:AO30)),STDEV(AO8:AO30),"-")</f>
        <v>7.1026258118263588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5Ttn/qoXcTFwZqpO+lsZRoIpHHdr/4Ztgff3T44yzCzYLnN8jTL+4kOOvzlmb9VzjkQ2PzDNeokc98KFRwIUw==" saltValue="IbwV8VmHQmGA5V5LO/5i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F01IDqKYGLlAz60CmVL743wrLBxQf8ZnXn4TjpWYh+2Y7bw3bd3RYSOiwu46at07+c1n4HaapsT0UUvDtAWQQ==" saltValue="6M3VnNje+q61FvCHsSu1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7VbkKtRJOfiDAFY0poh165gJybjWo+kKc+YBxNtlU4XpuwupXT8M/WI0RurjWvreM/10LypOO3rx1A7euBcg==" saltValue="GBaG7OAL9DPCRVjg1PwA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NAVALCARNERO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0.18746372605919906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0.13255687192295695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CltUX/SODNl3p2REGBwTS4Nl6Pf/tamZ9BNUs9LM7erJ2sHv4VFq0SJvt6zgpNHkP3Fx1qG6EEZFdx0k+cNTQ==" saltValue="bGmta7cYxOSBHFFCr6md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ACSXnUJZowwGoVwzgUBky6WPVC4McoAj4bF4QVV80Q8Il3on0J66Mzuby6UieLpHKrqVkP71BGvqjUeLWciqQ==" saltValue="WwcbZYQ1VQ0X/HZGc7n3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NAVALCARNERO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82</v>
      </c>
      <c r="D10" s="452">
        <f>IF(ISNUMBER(C10/Datos!BH10),C10/Datos!BH10," - ")</f>
        <v>82</v>
      </c>
      <c r="E10" s="451">
        <f>IF(ISNUMBER(Datos!J10),Datos!J10," - ")</f>
        <v>17</v>
      </c>
      <c r="F10" s="452">
        <f>IF(ISNUMBER(E10/B10),E10/B10," - ")</f>
        <v>17</v>
      </c>
      <c r="G10" s="451">
        <f>IF(ISNUMBER(Datos!K10),Datos!K10," - ")</f>
        <v>13</v>
      </c>
      <c r="H10" s="452">
        <f>IF(ISNUMBER(G10/B10),G10/B10," - ")</f>
        <v>13</v>
      </c>
      <c r="I10" s="451">
        <f>IF(ISNUMBER(Datos!L10),Datos!L10," - ")</f>
        <v>86</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5997</v>
      </c>
      <c r="D12" s="452">
        <f>IF(ISNUMBER(C12/Datos!BH12),C12/Datos!BH12," - ")</f>
        <v>999.5</v>
      </c>
      <c r="E12" s="451">
        <f>IF(ISNUMBER(IF(J_V="SI",Datos!J12,Datos!J12+Datos!Z12)),IF(J_V="SI",Datos!J12,Datos!J12+Datos!Z12)," - ")</f>
        <v>2309</v>
      </c>
      <c r="F12" s="452">
        <f>IF(ISNUMBER(E12/B12),E12/B12," - ")</f>
        <v>329.85714285714283</v>
      </c>
      <c r="G12" s="451">
        <f>IF(ISNUMBER(IF(J_V="SI",Datos!K12,Datos!K12+Datos!AA12)),IF(J_V="SI",Datos!K12,Datos!K12+Datos!AA12)," - ")</f>
        <v>1710</v>
      </c>
      <c r="H12" s="452">
        <f>IF(ISNUMBER(G12/B12),G12/B12," - ")</f>
        <v>244.28571428571428</v>
      </c>
      <c r="I12" s="451">
        <f>IF(ISNUMBER(IF(J_V="SI",Datos!L12,Datos!L12+Datos!AB12)),IF(J_V="SI",Datos!L12,Datos!L12+Datos!AB12)," - ")</f>
        <v>6703</v>
      </c>
      <c r="J12" s="452">
        <f>IF(ISNUMBER(I12/B12),I12/B12," - ")</f>
        <v>957.57142857142856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6079</v>
      </c>
      <c r="D14" s="1147" t="str">
        <f>IF(ISNUMBER(C14/Datos!BI14),C14/Datos!BI14," - ")</f>
        <v xml:space="preserve"> - </v>
      </c>
      <c r="E14" s="1146">
        <f>SUBTOTAL(9,E8:E13)</f>
        <v>2326</v>
      </c>
      <c r="F14" s="1147">
        <f>IF(ISNUMBER(E14/B14),E14/B14," - ")</f>
        <v>332.28571428571428</v>
      </c>
      <c r="G14" s="1146">
        <f>SUBTOTAL(9,G8:G13)</f>
        <v>1723</v>
      </c>
      <c r="H14" s="1147">
        <f>IF(ISNUMBER(G14/B14),G14/B14," - ")</f>
        <v>246.14285714285714</v>
      </c>
      <c r="I14" s="1146">
        <f>SUBTOTAL(9,I8:I13)</f>
        <v>6789</v>
      </c>
      <c r="J14" s="1147">
        <f>IF(ISNUMBER(I14/B14),I14/B14," - ")</f>
        <v>969.85714285714289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1573</v>
      </c>
      <c r="D17" s="452">
        <f>IF(ISNUMBER(C17/Datos!BH17),C17/Datos!BH17," - ")</f>
        <v>262.16666666666669</v>
      </c>
      <c r="E17" s="451">
        <f>IF(ISNUMBER(IF(D_I="SI",Datos!J17,Datos!J17+Datos!AD17)),IF(D_I="SI",Datos!J17,Datos!J17+Datos!AD17)," - ")</f>
        <v>1693</v>
      </c>
      <c r="F17" s="452">
        <f>IF(ISNUMBER(E17/B17),E17/B17," - ")</f>
        <v>241.85714285714286</v>
      </c>
      <c r="G17" s="451">
        <f>IF(ISNUMBER(IF(D_I="SI",Datos!K17,Datos!K17+Datos!AE17)),IF(D_I="SI",Datos!K17,Datos!K17+Datos!AE17)," - ")</f>
        <v>1735</v>
      </c>
      <c r="H17" s="452">
        <f>IF(ISNUMBER(G17/B17),G17/B17," - ")</f>
        <v>247.85714285714286</v>
      </c>
      <c r="I17" s="451">
        <f>IF(ISNUMBER(IF(D_I="SI",Datos!L17,Datos!L17+Datos!AF17)),IF(D_I="SI",Datos!L17,Datos!L17+Datos!AF17)," - ")</f>
        <v>1557</v>
      </c>
      <c r="J17" s="452">
        <f>IF(ISNUMBER(I17/B17),I17/B17," - ")</f>
        <v>222.42857142857142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223</v>
      </c>
      <c r="D18" s="452">
        <f>IF(ISNUMBER(C18/Datos!BH18),C18/Datos!BH18," - ")</f>
        <v>223</v>
      </c>
      <c r="E18" s="451">
        <f>IF(ISNUMBER(IF(D_I="SI",Datos!J18,Datos!J18+Datos!AD18)),IF(D_I="SI",Datos!J18,Datos!J18+Datos!AD18)," - ")</f>
        <v>200</v>
      </c>
      <c r="F18" s="452">
        <f>IF(ISNUMBER(E18/B18),E18/B18," - ")</f>
        <v>200</v>
      </c>
      <c r="G18" s="451">
        <f>IF(ISNUMBER(IF(D_I="SI",Datos!K18,Datos!K18+Datos!AE18)),IF(D_I="SI",Datos!K18,Datos!K18+Datos!AE18)," - ")</f>
        <v>174</v>
      </c>
      <c r="H18" s="452">
        <f>IF(ISNUMBER(G18/B18),G18/B18," - ")</f>
        <v>174</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1796</v>
      </c>
      <c r="D23" s="1147" t="str">
        <f>IF(ISNUMBER(C23/Datos!BI23),C23/Datos!BI23," - ")</f>
        <v xml:space="preserve"> - </v>
      </c>
      <c r="E23" s="1146">
        <f>SUBTOTAL(9,E15:E22)</f>
        <v>1893</v>
      </c>
      <c r="F23" s="1147">
        <f>IF(ISNUMBER(E23/B23),E23/B23," - ")</f>
        <v>270.42857142857144</v>
      </c>
      <c r="G23" s="1146">
        <f>SUBTOTAL(9,G15:G22)</f>
        <v>1909</v>
      </c>
      <c r="H23" s="1147">
        <f>IF(ISNUMBER(G23/B23),G23/B23," - ")</f>
        <v>272.71428571428572</v>
      </c>
      <c r="I23" s="1146">
        <f>SUBTOTAL(9,I15:I22)</f>
        <v>1710</v>
      </c>
      <c r="J23" s="1147">
        <f>IF(ISNUMBER(I23/B23),I23/B23," - ")</f>
        <v>244.28571428571428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7875</v>
      </c>
      <c r="D31" s="1085" t="str">
        <f>IF(ISNUMBER(C31/Datos!BI31),C31/Datos!BI31," - ")</f>
        <v xml:space="preserve"> - </v>
      </c>
      <c r="E31" s="1084">
        <f>SUBTOTAL(9,E9:E30)</f>
        <v>4219</v>
      </c>
      <c r="F31" s="1085">
        <f>IF(ISNUMBER(E31/B31),E31/B31," - ")</f>
        <v>602.71428571428567</v>
      </c>
      <c r="G31" s="1084">
        <f>SUBTOTAL(9,G9:G30)</f>
        <v>3632</v>
      </c>
      <c r="H31" s="1085">
        <f>IF(ISNUMBER(G31/B31),G31/B31," - ")</f>
        <v>518.85714285714289</v>
      </c>
      <c r="I31" s="1084">
        <f>SUBTOTAL(9,I9:I30)</f>
        <v>8499</v>
      </c>
      <c r="J31" s="1085">
        <f>IF(ISNUMBER(I31/B31),I31/B31," - ")</f>
        <v>1214.1428571428571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aj1A3ORNiLjo741L+bpNLvbmAnixmv3OhM5hRsFGFvRzpvGm1bn7/P85aHTIXH8lE2UEHf0WX4vP2FwQYvzMg==" saltValue="yToLTa04wq3gyyZDXcWa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NAVALCARNERO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82</v>
      </c>
      <c r="G10" s="906">
        <f>IF(ISNUMBER(Datos!I10),Datos!I10," - ")</f>
        <v>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86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19.846153846153843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317</v>
      </c>
      <c r="AM12" s="914">
        <f>IF(ISNUMBER(Datos!N12+DatosP!N17),Datos!N12+DatosP!N17," - ")</f>
        <v>779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11.759649122807017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1.7241379310344827E-2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82</v>
      </c>
      <c r="G14" s="1256">
        <f t="shared" si="0"/>
        <v>82</v>
      </c>
      <c r="H14" s="1256">
        <f t="shared" si="0"/>
        <v>0</v>
      </c>
      <c r="I14" s="1258">
        <f t="shared" si="0"/>
        <v>0</v>
      </c>
      <c r="J14" s="1257">
        <f t="shared" si="0"/>
        <v>0</v>
      </c>
      <c r="K14" s="1257">
        <f t="shared" si="0"/>
        <v>0</v>
      </c>
      <c r="L14" s="1259">
        <f t="shared" si="0"/>
        <v>0</v>
      </c>
      <c r="M14" s="1259">
        <f t="shared" si="0"/>
        <v>0</v>
      </c>
      <c r="N14" s="1257">
        <f t="shared" si="0"/>
        <v>364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227</v>
      </c>
      <c r="AE14" s="1257">
        <f t="shared" si="1"/>
        <v>0</v>
      </c>
      <c r="AF14" s="1257">
        <f t="shared" si="1"/>
        <v>86</v>
      </c>
      <c r="AG14" s="1257">
        <f t="shared" si="1"/>
        <v>0</v>
      </c>
      <c r="AH14" s="1257">
        <f t="shared" si="1"/>
        <v>7611</v>
      </c>
      <c r="AI14" s="1257">
        <f t="shared" si="1"/>
        <v>0</v>
      </c>
      <c r="AJ14" s="1257">
        <f t="shared" si="1"/>
        <v>0</v>
      </c>
      <c r="AK14" s="1257">
        <f t="shared" si="1"/>
        <v>0</v>
      </c>
      <c r="AL14" s="1257">
        <f t="shared" si="1"/>
        <v>323</v>
      </c>
      <c r="AM14" s="1257">
        <f t="shared" si="1"/>
        <v>782</v>
      </c>
      <c r="AN14" s="1257">
        <f t="shared" si="1"/>
        <v>0</v>
      </c>
      <c r="AO14" s="1257">
        <f t="shared" si="1"/>
        <v>0</v>
      </c>
      <c r="AP14" s="1262">
        <f>IF(ISNUMBER(((Datos!L14/Datos!K14)*11)/factor_trimestre),((Datos!L14/Datos!K14)*11)/factor_trimestre," - ")</f>
        <v>13.517241379310343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-0.15853658536585366</v>
      </c>
      <c r="AU14" s="1257" t="str">
        <f>IF(ISNUMBER((DatosP!#REF!-DatosP!#REF!+DatosP!#REF!)/(DatosP!#REF!+DatosP!#REF!-DatosP!#REF!-DatosP!#REF!)),(DatosP!#REF!-DatosP!#REF!+DatosP!#REF!)/(DatosP!#REF!+DatosP!#REF!-DatosP!#REF!-DatosP!#REF!)," - ")</f>
        <v xml:space="preserve"> - </v>
      </c>
      <c r="AV14" s="1263">
        <f>SUBTOTAL(9,AV9:AV13)</f>
        <v>1.7241379310344827E-2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2.6872708224201154</v>
      </c>
      <c r="AQ23" s="1262">
        <f>IF(ISNUMBER(((Datos!M23/Datos!L23)*11)/factor_trimestre),((Datos!M23/Datos!L23)*11)/factor_trimestre," - ")</f>
        <v>0.52456140350877201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-5.2536231884057968E-2</v>
      </c>
      <c r="AW23" s="1265">
        <f>IF(ISNUMBER((Datos!Q23-Datos!R23)/(Datos!S23-Datos!Q23+Datos!R23)),(Datos!Q23-Datos!R23)/(Datos!S23-Datos!Q23+Datos!R23)," - ")</f>
        <v>-0.22126929674099485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82</v>
      </c>
      <c r="G31" s="1278">
        <f t="shared" si="8"/>
        <v>82</v>
      </c>
      <c r="H31" s="1278">
        <f t="shared" si="8"/>
        <v>0</v>
      </c>
      <c r="I31" s="1279">
        <f t="shared" si="8"/>
        <v>0</v>
      </c>
      <c r="J31" s="1280">
        <f t="shared" si="8"/>
        <v>0</v>
      </c>
      <c r="K31" s="1280">
        <f t="shared" si="8"/>
        <v>0</v>
      </c>
      <c r="L31" s="1280">
        <f t="shared" si="8"/>
        <v>0</v>
      </c>
      <c r="M31" s="1280">
        <f t="shared" si="8"/>
        <v>0</v>
      </c>
      <c r="N31" s="1279">
        <f t="shared" si="8"/>
        <v>364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227</v>
      </c>
      <c r="AE31" s="1284">
        <f t="shared" si="9"/>
        <v>0</v>
      </c>
      <c r="AF31" s="1285">
        <f t="shared" si="9"/>
        <v>86</v>
      </c>
      <c r="AG31" s="1285">
        <f t="shared" si="9"/>
        <v>0</v>
      </c>
      <c r="AH31" s="1285">
        <f t="shared" si="9"/>
        <v>7611</v>
      </c>
      <c r="AI31" s="1285">
        <f t="shared" si="9"/>
        <v>0</v>
      </c>
      <c r="AJ31" s="1286">
        <f t="shared" si="9"/>
        <v>0</v>
      </c>
      <c r="AK31" s="1286">
        <f t="shared" si="9"/>
        <v>0</v>
      </c>
      <c r="AL31" s="1278">
        <f t="shared" si="9"/>
        <v>323</v>
      </c>
      <c r="AM31" s="1278">
        <f t="shared" si="9"/>
        <v>782</v>
      </c>
      <c r="AN31" s="1278">
        <f t="shared" si="9"/>
        <v>0</v>
      </c>
      <c r="AO31" s="1278">
        <f t="shared" si="9"/>
        <v>0</v>
      </c>
      <c r="AP31" s="1278">
        <f>IF(ISNUMBER(((Datos!L31/Datos!K31)*11)/factor_trimestre),((Datos!L31/Datos!K31)*11)/factor_trimestre," - ")</f>
        <v>7.2541654044229027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-0.15853658536585366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1.3050972666830829E-2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44.913249715423625</v>
      </c>
      <c r="G33" s="1007">
        <f>IF(ISNUMBER(STDEV(G8:G30)),STDEV(G8:G30),"-")</f>
        <v>44.913249715423625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164.50005065855348</v>
      </c>
      <c r="AM33" s="1006"/>
      <c r="AN33" s="1006">
        <f>IF(ISNUMBER(STDEV(AN8:AN30)),STDEV(AN8:AN30),"-")</f>
        <v>0</v>
      </c>
      <c r="AO33" s="1012">
        <f>IF(ISNUMBER(STDEV(AO8:AO30)),STDEV(AO8:AO30),"-")</f>
        <v>0</v>
      </c>
      <c r="AP33" s="1065">
        <f>IF(ISNUMBER(STDEV(AP8:AP30)),STDEV(AP8:AP30),"-")</f>
        <v>7.0861331668760883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2CfXCEGHDnMBAeHguBkbACR7uiGI5glt2DLUmsRM9aCTlHJ+n19C9oNWN8loCtBsj4TJPxKvs2KeDLGnBKLwA==" saltValue="HSn365kwCPh6oi/u0eMc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NAVALCARNERO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94+5SU8FYqBHtxCrzGcc2p9MSrOT6JD6rJxp66dwa+Ctl/yAtLNnopuHQ/naQc3m+O6KVTyQwZaTFV1sHcJJw==" saltValue="aBIdf2IJQ7cnHf5FBWV+7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NAVALCARNERO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317</v>
      </c>
      <c r="E12" s="452">
        <f t="shared" si="0"/>
        <v>45.285714285714285</v>
      </c>
      <c r="F12" s="451">
        <f>IF(ISNUMBER(Datos!N12),Datos!N12," - ")</f>
        <v>779</v>
      </c>
      <c r="G12" s="452">
        <f t="shared" si="1"/>
        <v>111.28571428571429</v>
      </c>
      <c r="H12" s="451">
        <f>IF(ISNUMBER(Datos!O12),Datos!O12," - ")</f>
        <v>624</v>
      </c>
      <c r="I12" s="452">
        <f t="shared" si="2"/>
        <v>89.142857142857139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323</v>
      </c>
      <c r="E14" s="1147">
        <f t="shared" si="0"/>
        <v>40.375</v>
      </c>
      <c r="F14" s="1146">
        <f>SUBTOTAL(9,F9:F13)</f>
        <v>782</v>
      </c>
      <c r="G14" s="1147">
        <f t="shared" si="1"/>
        <v>97.75</v>
      </c>
      <c r="H14" s="1146">
        <f>SUBTOTAL(9,H9:H13)</f>
        <v>627</v>
      </c>
      <c r="I14" s="1147">
        <f>IF(ISNUMBER(H14/B14),H14/B14," - ")</f>
        <v>78.375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284</v>
      </c>
      <c r="E17" s="452">
        <f t="shared" si="3"/>
        <v>40.571428571428569</v>
      </c>
      <c r="F17" s="451">
        <f>IF(ISNUMBER(Datos!N17),Datos!N17," - ")</f>
        <v>1058</v>
      </c>
      <c r="G17" s="452">
        <f t="shared" si="4"/>
        <v>151.14285714285714</v>
      </c>
      <c r="H17" s="451">
        <f>IF(ISNUMBER(Datos!O17),Datos!O17," - ")</f>
        <v>42</v>
      </c>
      <c r="I17" s="452">
        <f t="shared" si="5"/>
        <v>6</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137</v>
      </c>
      <c r="G18" s="452">
        <f>IF(ISNUMBER(F18/B18),F18/B18," - ")</f>
        <v>137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299</v>
      </c>
      <c r="E23" s="1147">
        <f t="shared" si="3"/>
        <v>37.375</v>
      </c>
      <c r="F23" s="1146">
        <f>SUBTOTAL(9,F16:F22)</f>
        <v>1195</v>
      </c>
      <c r="G23" s="1147">
        <f t="shared" si="4"/>
        <v>149.375</v>
      </c>
      <c r="H23" s="1146">
        <f>SUBTOTAL(9,H16:H22)</f>
        <v>42</v>
      </c>
      <c r="I23" s="1147">
        <f>IF(ISNUMBER(H23/B23),H23/B23," - ")</f>
        <v>5.25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622</v>
      </c>
      <c r="E31" s="1085">
        <f>IF(ISNUMBER(D31/B31),D31/B31," - ")</f>
        <v>88.857142857142861</v>
      </c>
      <c r="F31" s="1084">
        <f>SUBTOTAL(9,F8:F30)</f>
        <v>1977</v>
      </c>
      <c r="G31" s="1085">
        <f>IF(ISNUMBER(F31/B31),F31/B31," - ")</f>
        <v>282.42857142857144</v>
      </c>
      <c r="H31" s="1084">
        <f>SUBTOTAL(9,H8:H30)</f>
        <v>669</v>
      </c>
      <c r="I31" s="1085">
        <f>IF(ISNUMBER(H31/B31),H31/B31," - ")</f>
        <v>95.571428571428569</v>
      </c>
    </row>
    <row r="34" spans="1:1">
      <c r="A34" s="439" t="str">
        <f>Criterios!A4</f>
        <v>Fecha Informe: 06 may. 2023</v>
      </c>
    </row>
    <row r="39" spans="1:1">
      <c r="A39" s="462"/>
    </row>
  </sheetData>
  <sheetProtection algorithmName="SHA-512" hashValue="3XZZ/aYK57XdP9QamLt9e2KYmRqclMmCz6DvJcpq5jue4QwgsFA/5pxLnTTJkRs8Qb57QtOkDERvU+NgmxZREQ==" saltValue="Pr+DHLpbBnbvYonMEliJ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NAVALCARNERO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2</v>
      </c>
      <c r="D10" s="456">
        <f>IF(ISNUMBER(Datos!R10),Datos!R10," - ")</f>
        <v>94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356</v>
      </c>
      <c r="C12" s="489">
        <f>IF(ISNUMBER(Datos!Q12),Datos!Q12," - ")</f>
        <v>227</v>
      </c>
      <c r="D12" s="456">
        <f>IF(ISNUMBER(Datos!R12),Datos!R12," - ")</f>
        <v>7611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364</v>
      </c>
      <c r="C14" s="1150">
        <f>SUBTOTAL(9,C9:C13)</f>
        <v>229</v>
      </c>
      <c r="D14" s="1148">
        <f>SUBTOTAL(9,D9:D13)</f>
        <v>7705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107</v>
      </c>
      <c r="C17" s="489">
        <f>IF(ISNUMBER(Datos!Q17),Datos!Q17," - ")</f>
        <v>136</v>
      </c>
      <c r="D17" s="456">
        <f>IF(ISNUMBER(Datos!R17),Datos!R17," - ")</f>
        <v>523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107</v>
      </c>
      <c r="C23" s="1150">
        <f>SUBTOTAL(9,C16:C22)</f>
        <v>136</v>
      </c>
      <c r="D23" s="1148">
        <f>SUBTOTAL(9,D16:D22)</f>
        <v>523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471</v>
      </c>
      <c r="C31" s="1089">
        <f>SUBTOTAL(9,C8:C30)</f>
        <v>365</v>
      </c>
      <c r="D31" s="1090">
        <f>SUBTOTAL(9,D8:D30)</f>
        <v>8228</v>
      </c>
    </row>
    <row r="32" spans="1:4" ht="7.5" customHeight="1"/>
    <row r="33" spans="1:1" ht="6" customHeight="1"/>
    <row r="34" spans="1:1">
      <c r="A34" s="439" t="str">
        <f>Criterios!A4</f>
        <v>Fecha Informe: 06 may. 2023</v>
      </c>
    </row>
    <row r="39" spans="1:1">
      <c r="A39" s="462"/>
    </row>
  </sheetData>
  <sheetProtection algorithmName="SHA-512" hashValue="vM05C85YY1djGTxtW/2MpowVz4Brar9amf6YWX7tBSctfFov8mX/7gCRSe4eKsfkG4/nqH+QlRzPYoe5sLiVUQ==" saltValue="si+T0sAWqauR19Yl50zM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NAVALCARNERO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0.1388888888888889</v>
      </c>
      <c r="C10" s="515">
        <f>IF(ISNUMBER((Datos!J10-Datos!T10)/Datos!T10),(Datos!J10-Datos!T10)/Datos!T10," - ")</f>
        <v>3.25</v>
      </c>
      <c r="D10" s="515" t="str">
        <f>IF(ISNUMBER((Datos!K10-Datos!U10)/Datos!U10),(Datos!K10-Datos!U10)/Datos!U10," - ")</f>
        <v xml:space="preserve"> - </v>
      </c>
      <c r="E10" s="515">
        <f>IF(ISNUMBER((Datos!L10-Datos!V10)/Datos!V10),(Datos!L10-Datos!V10)/Datos!V10," - ")</f>
        <v>0.13157894736842105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0.45065312046444123</v>
      </c>
      <c r="C12" s="515">
        <f>IF(ISNUMBER(
   IF(J_V="SI",(Datos!J12-Datos!T12)/Datos!T12,(Datos!J12+Datos!Z12-(Datos!T12+Datos!AH12))/(Datos!T12+Datos!AH12))
     ),IF(J_V="SI",(Datos!J12-Datos!T12)/Datos!T12,(Datos!J12+Datos!Z12-(Datos!T12+Datos!AH12))/(Datos!T12+Datos!AH12))," - ")</f>
        <v>0.35425219941348973</v>
      </c>
      <c r="D12" s="515">
        <f>IF(ISNUMBER(
   IF(J_V="SI",(Datos!K12-Datos!U12)/Datos!U12,(Datos!K12+Datos!AA12-(Datos!U12+Datos!AI12))/(Datos!U12+Datos!AI12))
     ),IF(J_V="SI",(Datos!K12-Datos!U12)/Datos!U12,(Datos!K12+Datos!AA12-(Datos!U12+Datos!AI12))/(Datos!U12+Datos!AI12))," - ")</f>
        <v>-4.2016806722689079E-2</v>
      </c>
      <c r="E12" s="515">
        <f>IF(ISNUMBER(
   IF(J_V="SI",(Datos!L12-Datos!V12)/Datos!V12,(Datos!L12+Datos!AB12-(Datos!V12+Datos!AJ12))/(Datos!V12+Datos!AJ12))
     ),IF(J_V="SI",(Datos!L12-Datos!V12)/Datos!V12,(Datos!L12+Datos!AB12-(Datos!V12+Datos!AJ12))/(Datos!V12+Datos!AJ12))," - ")</f>
        <v>0.65342871238283173</v>
      </c>
      <c r="F12" s="515">
        <f>IF(ISNUMBER((Datos!M12-Datos!W12)/Datos!W12),(Datos!M12-Datos!W12)/Datos!W12," - ")</f>
        <v>-0.13858695652173914</v>
      </c>
      <c r="G12" s="516">
        <f>IF(ISNUMBER((Datos!N12-Datos!X12)/Datos!X12),(Datos!N12-Datos!X12)/Datos!X12," - ")</f>
        <v>-5.1157125456760051E-2</v>
      </c>
      <c r="H12" s="514">
        <f>IF(ISNUMBER(((NºAsuntos!G12/NºAsuntos!E12)-Datos!BD12)/Datos!BD12),((NºAsuntos!G12/NºAsuntos!E12)-Datos!BD12)/Datos!BD12," - ")</f>
        <v>-0.29261093783550662</v>
      </c>
      <c r="I12" s="515">
        <f>IF(ISNUMBER(((NºAsuntos!I12/NºAsuntos!G12)-Datos!BE12)/Datos!BE12),((NºAsuntos!I12/NºAsuntos!G12)-Datos!BE12)/Datos!BE12," - ")</f>
        <v>0.72594751555751746</v>
      </c>
      <c r="J12" s="521">
        <f>IF(ISNUMBER((('Resol  Asuntos'!D12/NºAsuntos!G12)-Datos!BF12)/Datos!BF12),(('Resol  Asuntos'!D12/NºAsuntos!G12)-Datos!BF12)/Datos!BF12," - ")</f>
        <v>-0.59695065923029245</v>
      </c>
      <c r="K12" s="522">
        <f>IF(ISNUMBER((((NºAsuntos!C12+NºAsuntos!E12)/NºAsuntos!G12)-Datos!BG12)/Datos!BG12),(((NºAsuntos!C12+NºAsuntos!E12)/NºAsuntos!G12)-Datos!BG12)/Datos!BG12," - ")</f>
        <v>0.48489437328550011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0.44531621493105089</v>
      </c>
      <c r="C14" s="1152">
        <f>IF(ISNUMBER(
   IF(J_V="SI",(Datos!J14-Datos!T14)/Datos!T14,(Datos!J14+Datos!Z14-(Datos!T14+Datos!AH14))/(Datos!T14+Datos!AH14))
     ),IF(J_V="SI",(Datos!J14-Datos!T14)/Datos!T14,(Datos!J14+Datos!Z14-(Datos!T14+Datos!AH14))/(Datos!T14+Datos!AH14))," - ")</f>
        <v>0.36102984201287303</v>
      </c>
      <c r="D14" s="1152">
        <f>IF(ISNUMBER(
   IF(J_V="SI",(Datos!K14-Datos!U14)/Datos!U14,(Datos!K14+Datos!AA14-(Datos!U14+Datos!AI14))/(Datos!U14+Datos!AI14))
     ),IF(J_V="SI",(Datos!K14-Datos!U14)/Datos!U14,(Datos!K14+Datos!AA14-(Datos!U14+Datos!AI14))/(Datos!U14+Datos!AI14))," - ")</f>
        <v>-3.4733893557422971E-2</v>
      </c>
      <c r="E14" s="1152">
        <f>IF(ISNUMBER(
   IF(J_V="SI",(Datos!L14-Datos!V14)/Datos!V14,(Datos!L14+Datos!AB14-(Datos!V14+Datos!AJ14))/(Datos!V14+Datos!AJ14))
     ),IF(J_V="SI",(Datos!L14-Datos!V14)/Datos!V14,(Datos!L14+Datos!AB14-(Datos!V14+Datos!AJ14))/(Datos!V14+Datos!AJ14))," - ")</f>
        <v>0.64382566585956413</v>
      </c>
      <c r="F14" s="1153">
        <f>IF(ISNUMBER((Datos!M14-Datos!W14)/Datos!W14),(Datos!M14-Datos!W14)/Datos!W14," - ")</f>
        <v>-0.12228260869565218</v>
      </c>
      <c r="G14" s="1154">
        <f>IF(ISNUMBER((Datos!N14-Datos!X14)/Datos!X14),(Datos!N14-Datos!X14)/Datos!X14," - ")</f>
        <v>-4.7503045066991476E-2</v>
      </c>
      <c r="H14" s="1154">
        <f>IF(ISNUMBER(((NºAsuntos!G14/NºAsuntos!E14)-Datos!BD14)/Datos!BD14),((NºAsuntos!G14/NºAsuntos!E14)-Datos!BD14)/Datos!BD14," - ")</f>
        <v>-0.2907825554985537</v>
      </c>
      <c r="I14" s="1154">
        <f>IF(ISNUMBER(((NºAsuntos!I14/NºAsuntos!G14)-Datos!BE14)/Datos!BE14),((NºAsuntos!I14/NºAsuntos!G14)-Datos!BE14)/Datos!BE14," - ")</f>
        <v>0.70297667647087736</v>
      </c>
      <c r="J14" s="1154">
        <f>IF(ISNUMBER((('Resol  Asuntos'!D14/NºAsuntos!G14)-Datos!BF14)/Datos!BF14),(('Resol  Asuntos'!D14/NºAsuntos!G14)-Datos!BF14)/Datos!BF14," - ")</f>
        <v>-0.5924205225144088</v>
      </c>
      <c r="K14" s="1154">
        <f>IF(ISNUMBER((((NºAsuntos!C14+NºAsuntos!E14)/NºAsuntos!G14)-Datos!BG14)/Datos!BG14),(((NºAsuntos!C14+NºAsuntos!E14)/NºAsuntos!G14)-Datos!BG14)/Datos!BG14," - ")</f>
        <v>0.4720952515050465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0.2573940847322142</v>
      </c>
      <c r="C17" s="515">
        <f>IF(ISNUMBER(
   IF(D_I="SI",(Datos!J17-Datos!T17)/Datos!T17,(Datos!J17+Datos!AD17-(Datos!T17+Datos!AL17))/(Datos!T17+Datos!AL17))
     ),IF(D_I="SI",(Datos!J17-Datos!T17)/Datos!T17,(Datos!J17+Datos!AD17-(Datos!T17+Datos!AL17))/(Datos!T17+Datos!AL17))," - ")</f>
        <v>0.12491694352159469</v>
      </c>
      <c r="D17" s="515">
        <f>IF(ISNUMBER(
   IF(D_I="SI",(Datos!K17-Datos!U17)/Datos!U17,(Datos!K17+Datos!AE17-(Datos!U17+Datos!AM17))/(Datos!U17+Datos!AM17))
     ),IF(D_I="SI",(Datos!K17-Datos!U17)/Datos!U17,(Datos!K17+Datos!AE17-(Datos!U17+Datos!AM17))/(Datos!U17+Datos!AM17))," - ")</f>
        <v>4.2668269230769232E-2</v>
      </c>
      <c r="E17" s="515">
        <f>IF(ISNUMBER(
   IF(D_I="SI",(Datos!L17-Datos!V17)/Datos!V17,(Datos!L17+Datos!AF17-(Datos!V17+Datos!AN17))/(Datos!V17+Datos!AN17))
     ),IF(D_I="SI",(Datos!L17-Datos!V17)/Datos!V17,(Datos!L17+Datos!AF17-(Datos!V17+Datos!AN17))/(Datos!V17+Datos!AN17))," - ")</f>
        <v>0.28042763157894735</v>
      </c>
      <c r="F17" s="515">
        <f>IF(ISNUMBER((Datos!M17-Datos!W17)/Datos!W17),(Datos!M17-Datos!W17)/Datos!W17," - ")</f>
        <v>-0.16959064327485379</v>
      </c>
      <c r="G17" s="516">
        <f>IF(ISNUMBER((Datos!N17-Datos!X17)/Datos!X17),(Datos!N17-Datos!X17)/Datos!X17," - ")</f>
        <v>0.28398058252427183</v>
      </c>
      <c r="H17" s="514">
        <f>IF(ISNUMBER(((NºAsuntos!G17/NºAsuntos!E17)-Datos!BD17)/Datos!BD17),((NºAsuntos!G17/NºAsuntos!E17)-Datos!BD17)/Datos!BD17," - ")</f>
        <v>-7.3115330660184497E-2</v>
      </c>
      <c r="I17" s="515">
        <f>IF(ISNUMBER(((NºAsuntos!I17/NºAsuntos!G17)-Datos!BE17)/Datos!BE17),((NºAsuntos!I17/NºAsuntos!G17)-Datos!BE17)/Datos!BE17," - ")</f>
        <v>0.2280297284999242</v>
      </c>
      <c r="J17" s="521">
        <f>IF(ISNUMBER((('Resol  Asuntos'!D17/NºAsuntos!G17)-Datos!BF17)/Datos!BF17),(('Resol  Asuntos'!D17/NºAsuntos!G17)-Datos!BF17)/Datos!BF17," - ")</f>
        <v>-0.20357281291605567</v>
      </c>
      <c r="K17" s="522">
        <f>IF(ISNUMBER((((NºAsuntos!C17+NºAsuntos!E17)/NºAsuntos!G17)-Datos!BG17)/Datos!BG17),(((NºAsuntos!C17+NºAsuntos!E17)/NºAsuntos!G17)-Datos!BG17)/Datos!BG17," - ")</f>
        <v>0.13655592409330647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1.0090090090090089</v>
      </c>
      <c r="C18" s="515">
        <f>IF(ISNUMBER(
   IF(D_I="SI",(Datos!J18-Datos!T18)/Datos!T18,(Datos!J18+Datos!AD18-(Datos!T18+Datos!AL18))/(Datos!T18+Datos!AL18))
     ),IF(D_I="SI",(Datos!J18-Datos!T18)/Datos!T18,(Datos!J18+Datos!AD18-(Datos!T18+Datos!AL18))/(Datos!T18+Datos!AL18))," - ")</f>
        <v>0.5625</v>
      </c>
      <c r="D18" s="515">
        <f>IF(ISNUMBER(
   IF(D_I="SI",(Datos!K18-Datos!U18)/Datos!U18,(Datos!K18+Datos!AE18-(Datos!U18+Datos!AM18))/(Datos!U18+Datos!AM18))
     ),IF(D_I="SI",(Datos!K18-Datos!U18)/Datos!U18,(Datos!K18+Datos!AE18-(Datos!U18+Datos!AM18))/(Datos!U18+Datos!AM18))," - ")</f>
        <v>0.47457627118644069</v>
      </c>
      <c r="E18" s="515">
        <f>IF(ISNUMBER(
   IF(D_I="SI",(Datos!L18-Datos!V18)/Datos!V18,(Datos!L18+Datos!AF18-(Datos!V18+Datos!AN18))/(Datos!V18+Datos!AN18))
     ),IF(D_I="SI",(Datos!L18-Datos!V18)/Datos!V18,(Datos!L18+Datos!AF18-(Datos!V18+Datos!AN18))/(Datos!V18+Datos!AN18))," - ")</f>
        <v>0.26446280991735538</v>
      </c>
      <c r="F18" s="515">
        <f>IF(ISNUMBER((Datos!M18-Datos!W18)/Datos!W18),(Datos!M18-Datos!W18)/Datos!W18," - ")</f>
        <v>0.5</v>
      </c>
      <c r="G18" s="516">
        <f>IF(ISNUMBER((Datos!N18-Datos!X18)/Datos!X18),(Datos!N18-Datos!X18)/Datos!X18," - ")</f>
        <v>0.95714285714285718</v>
      </c>
      <c r="H18" s="514">
        <f>IF(ISNUMBER(((NºAsuntos!G18/NºAsuntos!E18)-Datos!BD18)/Datos!BD18),((NºAsuntos!G18/NºAsuntos!E18)-Datos!BD18)/Datos!BD18," - ")</f>
        <v>-5.6271186440677974E-2</v>
      </c>
      <c r="I18" s="515">
        <f>IF(ISNUMBER(((NºAsuntos!I18/NºAsuntos!G18)-Datos!BE18)/Datos!BE18),((NºAsuntos!I18/NºAsuntos!G18)-Datos!BE18)/Datos!BE18," - ")</f>
        <v>-0.14249073810202334</v>
      </c>
      <c r="J18" s="521">
        <f>IF(ISNUMBER((('Resol  Asuntos'!D18/NºAsuntos!G18)-Datos!BF18)/Datos!BF18),(('Resol  Asuntos'!D18/NºAsuntos!G18)-Datos!BF18)/Datos!BF18," - ")</f>
        <v>1.7241379310344942E-2</v>
      </c>
      <c r="K18" s="522">
        <f>IF(ISNUMBER((((NºAsuntos!C18+NºAsuntos!E18)/NºAsuntos!G18)-Datos!BG18)/Datos!BG18),(((NºAsuntos!C18+NºAsuntos!E18)/NºAsuntos!G18)-Datos!BG18)/Datos!BG18," - ")</f>
        <v>0.20025970278459093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0.3186490455212922</v>
      </c>
      <c r="C23" s="1152">
        <f>IF(ISNUMBER(
   IF(Criterios!B14="SI",(Datos!J23-Datos!T23)/Datos!T23,(Datos!J23+Datos!AD23-(Datos!T23+Datos!AL23))/(Datos!T23+Datos!AL23))
     ),IF(Criterios!B14="SI",(Datos!J23-Datos!T23)/Datos!T23,(Datos!J23+Datos!AD23-(Datos!T23+Datos!AL23))/(Datos!T23+Datos!AL23))," - ")</f>
        <v>0.15921616656460502</v>
      </c>
      <c r="D23" s="1152">
        <f>IF(ISNUMBER(
   IF(Criterios!B14="SI",(Datos!K23-Datos!U23)/Datos!U23,(Datos!K23+Datos!AE23-(Datos!U23+Datos!AM23))/(Datos!U23+Datos!AM23))
     ),IF(Criterios!B14="SI",(Datos!K23-Datos!U23)/Datos!U23,(Datos!K23+Datos!AE23-(Datos!U23+Datos!AM23))/(Datos!U23+Datos!AM23))," - ")</f>
        <v>7.1268237934904596E-2</v>
      </c>
      <c r="E23" s="1152">
        <f>IF(ISNUMBER(
   IF(Criterios!B14="SI",(Datos!L23-Datos!V23)/Datos!V23,(Datos!L23+Datos!AF23-(Datos!V23+Datos!AN23))/(Datos!V23+Datos!AN23))
     ),IF(Criterios!B14="SI",(Datos!L23-Datos!V23)/Datos!V23,(Datos!L23+Datos!AF23-(Datos!V23+Datos!AN23))/(Datos!V23+Datos!AN23))," - ")</f>
        <v>0.27898279730740466</v>
      </c>
      <c r="F23" s="1153">
        <f>IF(ISNUMBER((Datos!M23-Datos!W23)/Datos!W23),(Datos!M23-Datos!W23)/Datos!W23," - ")</f>
        <v>-0.15056818181818182</v>
      </c>
      <c r="G23" s="1154">
        <f>IF(ISNUMBER((Datos!N23-Datos!X23)/Datos!X23),(Datos!N23-Datos!X23)/Datos!X23," - ")</f>
        <v>0.33668903803131989</v>
      </c>
      <c r="H23" s="1154">
        <f>IF(ISNUMBER(((NºAsuntos!G23/NºAsuntos!E23)-Datos!BD23)/Datos!BD23),((NºAsuntos!G23/NºAsuntos!E23)-Datos!BD23)/Datos!BD23," - ")</f>
        <v>-7.5868445563814349E-2</v>
      </c>
      <c r="I23" s="1154">
        <f>IF(ISNUMBER(((NºAsuntos!I23/NºAsuntos!G23)-Datos!BE23)/Datos!BE23),((NºAsuntos!I23/NºAsuntos!G23)-Datos!BE23)/Datos!BE23," - ")</f>
        <v>0.19389593755987175</v>
      </c>
      <c r="J23" s="1154">
        <f>IF(ISNUMBER((('Resol  Asuntos'!D23/NºAsuntos!G23)-Datos!BF23)/Datos!BF23),(('Resol  Asuntos'!D23/NºAsuntos!G23)-Datos!BF23)/Datos!BF23," - ")</f>
        <v>-0.20707831325301199</v>
      </c>
      <c r="K23" s="1154">
        <f>IF(ISNUMBER((((NºAsuntos!C23+NºAsuntos!E23)/NºAsuntos!G23)-Datos!BG23)/Datos!BG23),(((NºAsuntos!C23+NºAsuntos!E23)/NºAsuntos!G23)-Datos!BG23)/Datos!BG23," - ")</f>
        <v>0.14977695495635734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0.41433189655172414</v>
      </c>
      <c r="C31" s="1092">
        <f>IF(ISNUMBER(
   IF(J_V="SI",(Datos!J31-Datos!T31)/Datos!T31,(Datos!J31+Datos!Z31-(Datos!T31+Datos!AH31))/(Datos!T31+Datos!AH31))
     ),IF(J_V="SI",(Datos!J31-Datos!T31)/Datos!T31,(Datos!J31+Datos!Z31-(Datos!T31+Datos!AH31))/(Datos!T31+Datos!AH31))," - ")</f>
        <v>0.26241771394374624</v>
      </c>
      <c r="D31" s="1092">
        <f>IF(ISNUMBER(
   IF(J_V="SI",(Datos!K31-Datos!U31)/Datos!U31,(Datos!K31+Datos!AA31-(Datos!U31+Datos!AI31))/(Datos!U31+Datos!AI31))
     ),IF(J_V="SI",(Datos!K31-Datos!U31)/Datos!U31,(Datos!K31+Datos!AA31-(Datos!U31+Datos!AI31))/(Datos!U31+Datos!AI31))," - ")</f>
        <v>1.822259601906364E-2</v>
      </c>
      <c r="E31" s="1092">
        <f>IF(ISNUMBER(
   IF(J_V="SI",(Datos!L31-Datos!V31)/Datos!V31,(Datos!L31+Datos!AB31-(Datos!V31+Datos!AJ31))/(Datos!V31+Datos!AJ31))
     ),IF(J_V="SI",(Datos!L31-Datos!V31)/Datos!V31,(Datos!L31+Datos!AB31-(Datos!V31+Datos!AJ31))/(Datos!V31+Datos!AJ31))," - ")</f>
        <v>0.55460032924821656</v>
      </c>
      <c r="F31" s="1093">
        <f>IF(ISNUMBER((Datos!M31-Datos!W31)/Datos!W31),(Datos!M31-Datos!W31)/Datos!W31," - ")</f>
        <v>-0.1361111111111111</v>
      </c>
      <c r="G31" s="1094">
        <f>IF(ISNUMBER((Datos!N31-Datos!X31)/Datos!X31),(Datos!N31-Datos!X31)/Datos!X31," - ")</f>
        <v>0.15276967930029153</v>
      </c>
      <c r="H31" s="1095">
        <f>IF(ISNUMBER((Tasas!B31-Datos!BD31)/Datos!BD31),(Tasas!B31-Datos!BD31)/Datos!BD31," - ")</f>
        <v>-0.19343448307757505</v>
      </c>
      <c r="I31" s="1096">
        <f>IF(ISNUMBER((Tasas!C31-Datos!BE31)/Datos!BE31),(Tasas!C31-Datos!BE31)/Datos!BE31," - ")</f>
        <v>0.5267784621223538</v>
      </c>
      <c r="J31" s="1097">
        <f>IF(ISNUMBER((Tasas!D31-Datos!BF31)/Datos!BF31),(Tasas!D31-Datos!BF31)/Datos!BF31," - ")</f>
        <v>-0.47922558220760059</v>
      </c>
      <c r="K31" s="1097">
        <f>IF(ISNUMBER((Tasas!E31-Datos!BG31)/Datos!BG31),(Tasas!E31-Datos!BG31)/Datos!BG31," - ")</f>
        <v>0.33305948619825287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gJJb6zbna3cizYQd9UN5vHQ72coee9vb35zQK1nPyld7QJtdnflEjj3G/fvVw0EgQY9uu8Yd5VXczpE3KkFOA==" saltValue="aTb8DudBb5GOhfhnBBL8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NAVALCARNERO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0.76470588235294112</v>
      </c>
      <c r="C10" s="498">
        <f>IF(ISNUMBER(NºAsuntos!I10/NºAsuntos!G10),NºAsuntos!I10/NºAsuntos!G10," - ")</f>
        <v>6.615384615384615</v>
      </c>
      <c r="D10" s="499">
        <f>IF(ISNUMBER('Resol  Asuntos'!D10/NºAsuntos!G10),'Resol  Asuntos'!D10/NºAsuntos!G10," - ")</f>
        <v>0.46153846153846156</v>
      </c>
      <c r="E10" s="500">
        <f>IF(ISNUMBER((NºAsuntos!C10+NºAsuntos!E10)/NºAsuntos!G10),(NºAsuntos!C10+NºAsuntos!E10)/NºAsuntos!G10," - ")</f>
        <v>7.615384615384615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0.74058033780857513</v>
      </c>
      <c r="C12" s="498">
        <f>IF(ISNUMBER(NºAsuntos!I12/NºAsuntos!G12),NºAsuntos!I12/NºAsuntos!G12," - ")</f>
        <v>3.9198830409356726</v>
      </c>
      <c r="D12" s="499">
        <f>IF(ISNUMBER('Resol  Asuntos'!D12/NºAsuntos!G12),'Resol  Asuntos'!D12/NºAsuntos!G12," - ")</f>
        <v>0.18538011695906434</v>
      </c>
      <c r="E12" s="500">
        <f>IF(ISNUMBER((NºAsuntos!C12+NºAsuntos!E12)/NºAsuntos!G12),(NºAsuntos!C12+NºAsuntos!E12)/NºAsuntos!G12," - ")</f>
        <v>4.8573099415204677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0.74075666380051586</v>
      </c>
      <c r="C14" s="1156">
        <f>IF(ISNUMBER(NºAsuntos!I14/NºAsuntos!G14),NºAsuntos!I14/NºAsuntos!G14," - ")</f>
        <v>3.9402205455600696</v>
      </c>
      <c r="D14" s="1157">
        <f>IF(ISNUMBER('Resol  Asuntos'!D14/NºAsuntos!G14),'Resol  Asuntos'!D14/NºAsuntos!G14," - ")</f>
        <v>0.18746372605919906</v>
      </c>
      <c r="E14" s="1158">
        <f>IF(ISNUMBER((NºAsuntos!C14+NºAsuntos!E14)/NºAsuntos!G14),(NºAsuntos!C14+NºAsuntos!E14)/NºAsuntos!G14," - ")</f>
        <v>4.8781195589088799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1.0248080330773774</v>
      </c>
      <c r="C17" s="498">
        <f>IF(ISNUMBER(NºAsuntos!I17/NºAsuntos!G17),NºAsuntos!I17/NºAsuntos!G17," - ")</f>
        <v>0.89740634005763686</v>
      </c>
      <c r="D17" s="499">
        <f>IF(ISNUMBER('Resol  Asuntos'!D17/NºAsuntos!G17),'Resol  Asuntos'!D17/NºAsuntos!G17," - ")</f>
        <v>0.16368876080691644</v>
      </c>
      <c r="E17" s="500">
        <f>IF(ISNUMBER((NºAsuntos!C17+NºAsuntos!E17)/NºAsuntos!G17),(NºAsuntos!C17+NºAsuntos!E17)/NºAsuntos!G17," - ")</f>
        <v>1.8824207492795388</v>
      </c>
      <c r="G17" s="523"/>
    </row>
    <row r="18" spans="1:7">
      <c r="A18" s="450" t="str">
        <f>Datos!A18</f>
        <v>Jdos. Violencia contra la mujer</v>
      </c>
      <c r="B18" s="497">
        <f>IF(ISNUMBER(NºAsuntos!G18/NºAsuntos!E18),NºAsuntos!G18/NºAsuntos!E18," - ")</f>
        <v>0.87</v>
      </c>
      <c r="C18" s="498">
        <f>IF(ISNUMBER(NºAsuntos!I18/NºAsuntos!G18),NºAsuntos!I18/NºAsuntos!G18," - ")</f>
        <v>0.87931034482758619</v>
      </c>
      <c r="D18" s="499">
        <f>IF(ISNUMBER('Resol  Asuntos'!D18/NºAsuntos!G18),'Resol  Asuntos'!D18/NºAsuntos!G18," - ")</f>
        <v>8.6206896551724144E-2</v>
      </c>
      <c r="E18" s="500">
        <f>IF(ISNUMBER((NºAsuntos!C18+NºAsuntos!E18)/NºAsuntos!G18),(NºAsuntos!C18+NºAsuntos!E18)/NºAsuntos!G18," - ")</f>
        <v>2.4310344827586206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1.0084521922873746</v>
      </c>
      <c r="C23" s="1156">
        <f>IF(ISNUMBER(NºAsuntos!I23/NºAsuntos!G23),NºAsuntos!I23/NºAsuntos!G23," - ")</f>
        <v>0.89575694080670509</v>
      </c>
      <c r="D23" s="1159">
        <f>IF(ISNUMBER('Resol  Asuntos'!D23/NºAsuntos!G23),'Resol  Asuntos'!D23/NºAsuntos!G23," - ")</f>
        <v>0.15662650602409639</v>
      </c>
      <c r="E23" s="1158">
        <f>IF(ISNUMBER((NºAsuntos!C23+NºAsuntos!E23)/NºAsuntos!G23),(NºAsuntos!C23+NºAsuntos!E23)/NºAsuntos!G23," - ")</f>
        <v>1.9324253535882661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0.86086750414790236</v>
      </c>
      <c r="C31" s="1099">
        <f>IF(ISNUMBER(NºAsuntos!I31/NºAsuntos!G31),NºAsuntos!I31/NºAsuntos!G31," - ")</f>
        <v>2.3400330396475773</v>
      </c>
      <c r="D31" s="1100">
        <f>IF(ISNUMBER('Resol  Asuntos'!D31/NºAsuntos!G31),'Resol  Asuntos'!D31/NºAsuntos!G31," - ")</f>
        <v>0.17125550660792951</v>
      </c>
      <c r="E31" s="1101">
        <f>IF(ISNUMBER((NºAsuntos!C31+NºAsuntos!E31)/NºAsuntos!G31),(NºAsuntos!C31+NºAsuntos!E31)/NºAsuntos!G31," - ")</f>
        <v>3.3298458149779737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Vl0cFIODZjSN/GrBSLBsatAQkrfVWxDvFjiDpeJquYIzOFgZKMDhjNUPsnvMTGE4W/pswjQdofoXQwTSDJPjg==" saltValue="q/8/Fw1kodgPXvBm/Wn1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NAVALCARNERO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2</v>
      </c>
      <c r="Y10" s="374">
        <f t="shared" ref="Y10:Y13" si="0">SUM(W10:X10)</f>
        <v>15</v>
      </c>
      <c r="Z10" s="375" t="str">
        <f>IF(ISNUMBER(Datos!CC10),Datos!CC10," - ")</f>
        <v xml:space="preserve"> - </v>
      </c>
      <c r="AA10" s="372">
        <f>IF(ISNUMBER(Datos!L10),Datos!L10,"-")</f>
        <v>86</v>
      </c>
      <c r="AB10" s="374">
        <f>IF(ISNUMBER(Datos!R10),Datos!R10," - ")</f>
        <v>94</v>
      </c>
      <c r="AC10" s="374">
        <f t="shared" ref="AC10:AC13" si="1">IF(ISNUMBER(AA10+AB10),AA10+AB10," - ")</f>
        <v>180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0.76470588235294112</v>
      </c>
      <c r="AM10" s="284">
        <f>IF(ISNUMBER(((NºAsuntos!I10/NºAsuntos!G10)*11)/factor_trimestre),((NºAsuntos!I10/NºAsuntos!G10)*11)/factor_trimestre," - ")</f>
        <v>19.846153846153843</v>
      </c>
      <c r="AN10" s="267">
        <f>IF(ISNUMBER('Resol  Asuntos'!D10/NºAsuntos!G10),'Resol  Asuntos'!D10/NºAsuntos!G10," - ")</f>
        <v>0.46153846153846156</v>
      </c>
      <c r="AO10" s="268">
        <f>IF(ISNUMBER((NºAsuntos!C10+NºAsuntos!E10)/NºAsuntos!G10),(NºAsuntos!C10+NºAsuntos!E10)/NºAsuntos!G10," - ")</f>
        <v>7.615384615384615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227</v>
      </c>
      <c r="Y12" s="374">
        <f t="shared" si="0"/>
        <v>227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317</v>
      </c>
      <c r="AJ12" s="243" t="str">
        <f>IF(ISNUMBER(Datos!BW12),Datos!BW12," - ")</f>
        <v xml:space="preserve"> - </v>
      </c>
      <c r="AK12" s="242" t="str">
        <f>IF(ISNUMBER(Datos!BX12),Datos!BX12," - ")</f>
        <v xml:space="preserve"> - </v>
      </c>
      <c r="AL12" s="266">
        <f>IF(ISNUMBER(NºAsuntos!G12/NºAsuntos!E12),NºAsuntos!G12/NºAsuntos!E12," - ")</f>
        <v>0.74058033780857513</v>
      </c>
      <c r="AM12" s="284">
        <f>IF(ISNUMBER(((NºAsuntos!I12/NºAsuntos!G12)*11)/factor_trimestre),((NºAsuntos!I12/NºAsuntos!G12)*11)/factor_trimestre," - ")</f>
        <v>11.759649122807017</v>
      </c>
      <c r="AN12" s="267">
        <f>IF(ISNUMBER('Resol  Asuntos'!D12/NºAsuntos!G12),'Resol  Asuntos'!D12/NºAsuntos!G12," - ")</f>
        <v>0.18538011695906434</v>
      </c>
      <c r="AO12" s="268">
        <f>IF(ISNUMBER((NºAsuntos!C12+NºAsuntos!E12)/NºAsuntos!G12),(NºAsuntos!C12+NºAsuntos!E12)/NºAsuntos!G12," - ")</f>
        <v>4.8573099415204677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82</v>
      </c>
      <c r="G14" s="1163">
        <f t="shared" si="5"/>
        <v>82</v>
      </c>
      <c r="H14" s="1162">
        <f t="shared" si="5"/>
        <v>0</v>
      </c>
      <c r="I14" s="1164">
        <f t="shared" si="5"/>
        <v>0</v>
      </c>
      <c r="J14" s="1164">
        <f t="shared" si="5"/>
        <v>0</v>
      </c>
      <c r="K14" s="1164">
        <f t="shared" si="5"/>
        <v>0</v>
      </c>
      <c r="L14" s="1164">
        <f t="shared" si="5"/>
        <v>364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229</v>
      </c>
      <c r="Y14" s="1165">
        <f t="shared" si="6"/>
        <v>242</v>
      </c>
      <c r="Z14" s="1165">
        <f t="shared" si="6"/>
        <v>0</v>
      </c>
      <c r="AA14" s="1165">
        <f t="shared" si="6"/>
        <v>86</v>
      </c>
      <c r="AB14" s="1165">
        <f t="shared" si="6"/>
        <v>7705</v>
      </c>
      <c r="AC14" s="1165">
        <f t="shared" si="6"/>
        <v>180</v>
      </c>
      <c r="AD14" s="1165">
        <f t="shared" si="6"/>
        <v>0</v>
      </c>
      <c r="AE14" s="1169">
        <f t="shared" si="6"/>
        <v>0</v>
      </c>
      <c r="AF14" s="1162">
        <f t="shared" si="6"/>
        <v>0</v>
      </c>
      <c r="AG14" s="1170">
        <f t="shared" si="6"/>
        <v>0</v>
      </c>
      <c r="AH14" s="1167">
        <f t="shared" si="6"/>
        <v>0</v>
      </c>
      <c r="AI14" s="1162">
        <f t="shared" si="6"/>
        <v>323</v>
      </c>
      <c r="AJ14" s="1164">
        <f t="shared" si="6"/>
        <v>0</v>
      </c>
      <c r="AK14" s="1167">
        <f>SUBTOTAL(9,AK9:AK13)</f>
        <v>0</v>
      </c>
      <c r="AL14" s="1171">
        <f>IF(ISNUMBER(NºAsuntos!G14/NºAsuntos!E14),NºAsuntos!G14/NºAsuntos!E14," - ")</f>
        <v>0.74075666380051586</v>
      </c>
      <c r="AM14" s="1171">
        <f>IF(ISNUMBER(((NºAsuntos!I14/NºAsuntos!G14)*11)/factor_trimestre),((NºAsuntos!I14/NºAsuntos!G14)*11)/factor_trimestre," - ")</f>
        <v>11.82066163668021</v>
      </c>
      <c r="AN14" s="1172">
        <f>IF(ISNUMBER('Resol  Asuntos'!D14/NºAsuntos!G14),'Resol  Asuntos'!D14/NºAsuntos!G14," - ")</f>
        <v>0.18746372605919906</v>
      </c>
      <c r="AO14" s="1173">
        <f>IF(ISNUMBER((NºAsuntos!C14+NºAsuntos!E14)/NºAsuntos!G14),(NºAsuntos!C14+NºAsuntos!E14)/NºAsuntos!G14," - ")</f>
        <v>4.8781195589088799</v>
      </c>
      <c r="AP14" s="1174" t="str">
        <f t="shared" si="2"/>
        <v xml:space="preserve"> - </v>
      </c>
      <c r="AQ14" s="1174">
        <f>IF(ISNUMBER((H14-W14+K14)/(F14)),(H14-W14+K14)/(F14)," - ")</f>
        <v>-0.15853658536585366</v>
      </c>
      <c r="AR14" s="1175">
        <f>IF(ISNUMBER((Datos!P14-Datos!Q14)/(Datos!R14-Datos!P14+Datos!Q14)),(Datos!P14-Datos!Q14)/(Datos!R14-Datos!P14+Datos!Q14)," - ")</f>
        <v>1.7833553500660501E-2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1599</v>
      </c>
      <c r="G17" s="373">
        <f>IF(ISNUMBER(IF(D_I="SI",Datos!I17,Datos!I17+Datos!AC17)),IF(D_I="SI",Datos!I17,Datos!I17+Datos!AC17)," - ")</f>
        <v>1573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1735</v>
      </c>
      <c r="X17" s="240">
        <f>IF(ISNUMBER(Datos!Q17),Datos!Q17," - ")</f>
        <v>136</v>
      </c>
      <c r="Y17" s="374">
        <f t="shared" ref="Y17:Y22" si="9">SUM(W17:X17)</f>
        <v>1871</v>
      </c>
      <c r="Z17" s="375" t="str">
        <f>IF(ISNUMBER(Datos!CC17),Datos!CC17," - ")</f>
        <v xml:space="preserve"> - </v>
      </c>
      <c r="AA17" s="372">
        <f>IF(ISNUMBER(IF(D_I="SI",Datos!L17,Datos!L17+Datos!AF17)),IF(D_I="SI",Datos!L17,Datos!L17+Datos!AF17)," - ")</f>
        <v>1557</v>
      </c>
      <c r="AB17" s="374">
        <f>IF(ISNUMBER(Datos!R17),Datos!R17," - ")</f>
        <v>523</v>
      </c>
      <c r="AC17" s="374">
        <f t="shared" si="8"/>
        <v>2080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284</v>
      </c>
      <c r="AJ17" s="245" t="str">
        <f>IF(ISNUMBER(Datos!BW17),Datos!BW17," - ")</f>
        <v xml:space="preserve"> - </v>
      </c>
      <c r="AK17" s="246" t="str">
        <f>IF(ISNUMBER(Datos!BX17),Datos!BX17," - ")</f>
        <v xml:space="preserve"> - </v>
      </c>
      <c r="AL17" s="266">
        <f>IF(ISNUMBER(NºAsuntos!G17/NºAsuntos!E17),NºAsuntos!G17/NºAsuntos!E17," - ")</f>
        <v>1.0248080330773774</v>
      </c>
      <c r="AM17" s="284">
        <f>IF(ISNUMBER(((NºAsuntos!I17/NºAsuntos!G17)*11)/factor_trimestre),((NºAsuntos!I17/NºAsuntos!G17)*11)/factor_trimestre," - ")</f>
        <v>2.6922190201729106</v>
      </c>
      <c r="AN17" s="267">
        <f>IF(ISNUMBER('Resol  Asuntos'!D17/NºAsuntos!G17),'Resol  Asuntos'!D17/NºAsuntos!G17," - ")</f>
        <v>0.16368876080691644</v>
      </c>
      <c r="AO17" s="268">
        <f>IF(ISNUMBER((NºAsuntos!C17+NºAsuntos!E17)/NºAsuntos!G17),(NºAsuntos!C17+NºAsuntos!E17)/NºAsuntos!G17," - ")</f>
        <v>1.8824207492795388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174</v>
      </c>
      <c r="X18" s="240">
        <f>IF(ISNUMBER(Datos!Q18),Datos!Q18," - ")</f>
        <v>0</v>
      </c>
      <c r="Y18" s="374">
        <f t="shared" si="9"/>
        <v>174</v>
      </c>
      <c r="Z18" s="375" t="str">
        <f>IF(ISNUMBER(Datos!CC18),Datos!CC18," - ")</f>
        <v xml:space="preserve"> - </v>
      </c>
      <c r="AA18" s="372">
        <f>IF(ISNUMBER(Datos!L18),Datos!L18,"-")</f>
        <v>153</v>
      </c>
      <c r="AB18" s="374">
        <f>IF(ISNUMBER(Datos!R18),Datos!R18," - ")</f>
        <v>0</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0.87</v>
      </c>
      <c r="AM18" s="284">
        <f>IF(ISNUMBER(((NºAsuntos!I18/NºAsuntos!G18)*11)/factor_trimestre),((NºAsuntos!I18/NºAsuntos!G18)*11)/factor_trimestre," - ")</f>
        <v>2.6379310344827589</v>
      </c>
      <c r="AN18" s="267">
        <f>IF(ISNUMBER('Resol  Asuntos'!D18/NºAsuntos!G18),'Resol  Asuntos'!D18/NºAsuntos!G18," - ")</f>
        <v>8.6206896551724144E-2</v>
      </c>
      <c r="AO18" s="268">
        <f>IF(ISNUMBER((NºAsuntos!C18+NºAsuntos!E18)/NºAsuntos!G18),(NºAsuntos!C18+NºAsuntos!E18)/NºAsuntos!G18," - ")</f>
        <v>2.4310344827586206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1599</v>
      </c>
      <c r="G23" s="1163">
        <f>SUBTOTAL(9,G16:G22)</f>
        <v>1796</v>
      </c>
      <c r="H23" s="1162">
        <f t="shared" ref="H23:O23" si="13">SUBTOTAL(9,H15:H22)</f>
        <v>0</v>
      </c>
      <c r="I23" s="1164">
        <f t="shared" si="13"/>
        <v>0</v>
      </c>
      <c r="J23" s="1164">
        <f t="shared" si="13"/>
        <v>0</v>
      </c>
      <c r="K23" s="1164">
        <f t="shared" si="13"/>
        <v>0</v>
      </c>
      <c r="L23" s="1164">
        <f t="shared" si="13"/>
        <v>107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1909</v>
      </c>
      <c r="X23" s="1164">
        <f t="shared" si="14"/>
        <v>136</v>
      </c>
      <c r="Y23" s="1165">
        <f t="shared" si="14"/>
        <v>2045</v>
      </c>
      <c r="Z23" s="1165">
        <f t="shared" si="14"/>
        <v>0</v>
      </c>
      <c r="AA23" s="1165">
        <f t="shared" si="14"/>
        <v>1710</v>
      </c>
      <c r="AB23" s="1165">
        <f t="shared" si="14"/>
        <v>523</v>
      </c>
      <c r="AC23" s="1165">
        <f t="shared" si="14"/>
        <v>2233</v>
      </c>
      <c r="AD23" s="1165">
        <f t="shared" si="14"/>
        <v>0</v>
      </c>
      <c r="AE23" s="1169">
        <f t="shared" si="14"/>
        <v>0</v>
      </c>
      <c r="AF23" s="1162">
        <f t="shared" si="14"/>
        <v>0</v>
      </c>
      <c r="AG23" s="1170">
        <f t="shared" si="14"/>
        <v>0</v>
      </c>
      <c r="AH23" s="1167">
        <f t="shared" si="14"/>
        <v>0</v>
      </c>
      <c r="AI23" s="1162">
        <f t="shared" si="14"/>
        <v>299</v>
      </c>
      <c r="AJ23" s="1164">
        <f t="shared" si="14"/>
        <v>0</v>
      </c>
      <c r="AK23" s="1167">
        <f t="shared" si="14"/>
        <v>0</v>
      </c>
      <c r="AL23" s="1171">
        <f>IF(ISNUMBER(NºAsuntos!G23/NºAsuntos!E23),NºAsuntos!G23/NºAsuntos!E23," - ")</f>
        <v>1.0084521922873746</v>
      </c>
      <c r="AM23" s="1171">
        <f>IF(ISNUMBER(((NºAsuntos!I23/NºAsuntos!G23)*11)/factor_trimestre),((NºAsuntos!I23/NºAsuntos!G23)*11)/factor_trimestre," - ")</f>
        <v>2.6872708224201154</v>
      </c>
      <c r="AN23" s="1172">
        <f>IF(ISNUMBER('Resol  Asuntos'!D23/NºAsuntos!G23),'Resol  Asuntos'!D23/NºAsuntos!G23," - ")</f>
        <v>0.15662650602409639</v>
      </c>
      <c r="AO23" s="1173">
        <f>IF(ISNUMBER((NºAsuntos!C23+NºAsuntos!E23)/NºAsuntos!G23),(NºAsuntos!C23+NºAsuntos!E23)/NºAsuntos!G23," - ")</f>
        <v>1.9324253535882661</v>
      </c>
      <c r="AP23" s="1174" t="str">
        <f t="shared" si="2"/>
        <v xml:space="preserve"> - </v>
      </c>
      <c r="AQ23" s="1174">
        <f>IF(ISNUMBER((H23-W23+K23)/(F23)),(H23-W23+K23)/(F23)," - ")</f>
        <v>-1.1938711694809256</v>
      </c>
      <c r="AR23" s="1175">
        <f>IF(ISNUMBER((Datos!P23-Datos!Q23)/(Datos!R23-Datos!P23+Datos!Q23)),(Datos!P23-Datos!Q23)/(Datos!R23-Datos!P23+Datos!Q23)," - ")</f>
        <v>-5.2536231884057968E-2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1681</v>
      </c>
      <c r="G31" s="1118">
        <f t="shared" si="20"/>
        <v>1878</v>
      </c>
      <c r="H31" s="1117">
        <f t="shared" si="20"/>
        <v>0</v>
      </c>
      <c r="I31" s="1119">
        <f t="shared" si="20"/>
        <v>0</v>
      </c>
      <c r="J31" s="1119">
        <f t="shared" si="20"/>
        <v>0</v>
      </c>
      <c r="K31" s="1180">
        <f t="shared" si="20"/>
        <v>0</v>
      </c>
      <c r="L31" s="1119">
        <f t="shared" si="20"/>
        <v>471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1922</v>
      </c>
      <c r="X31" s="1118">
        <f t="shared" si="21"/>
        <v>365</v>
      </c>
      <c r="Y31" s="1125">
        <f t="shared" si="21"/>
        <v>2287</v>
      </c>
      <c r="Z31" s="1125">
        <f t="shared" si="21"/>
        <v>0</v>
      </c>
      <c r="AA31" s="1125">
        <f t="shared" si="21"/>
        <v>1796</v>
      </c>
      <c r="AB31" s="1125">
        <f t="shared" si="21"/>
        <v>8228</v>
      </c>
      <c r="AC31" s="1125">
        <f t="shared" si="21"/>
        <v>2413</v>
      </c>
      <c r="AD31" s="1125">
        <f t="shared" si="21"/>
        <v>0</v>
      </c>
      <c r="AE31" s="1127">
        <f t="shared" si="21"/>
        <v>0</v>
      </c>
      <c r="AF31" s="1128">
        <f t="shared" si="21"/>
        <v>0</v>
      </c>
      <c r="AG31" s="1129">
        <f t="shared" si="21"/>
        <v>0</v>
      </c>
      <c r="AH31" s="1127">
        <f t="shared" si="21"/>
        <v>0</v>
      </c>
      <c r="AI31" s="1117">
        <f t="shared" si="21"/>
        <v>622</v>
      </c>
      <c r="AJ31" s="1117">
        <f t="shared" si="21"/>
        <v>0</v>
      </c>
      <c r="AK31" s="1127">
        <f t="shared" si="21"/>
        <v>0</v>
      </c>
      <c r="AL31" s="1183">
        <f>IF(ISNUMBER(NºAsuntos!G31/NºAsuntos!E31),NºAsuntos!G31/NºAsuntos!E31," - ")</f>
        <v>0.86086750414790236</v>
      </c>
      <c r="AM31" s="1184">
        <f>IF(ISNUMBER(((NºAsuntos!I31/NºAsuntos!G31)*11)/factor_trimestre),((NºAsuntos!I31/NºAsuntos!G31)*11)/factor_trimestre," - ")</f>
        <v>7.0200991189427322</v>
      </c>
      <c r="AN31" s="1184">
        <f>IF(ISNUMBER('Resol  Asuntos'!D31/NºAsuntos!G31),'Resol  Asuntos'!D31/NºAsuntos!G31," - ")</f>
        <v>0.17125550660792951</v>
      </c>
      <c r="AO31" s="1185">
        <f>IF(ISNUMBER((NºAsuntos!C31+NºAsuntos!E31)/NºAsuntos!G31),(NºAsuntos!C31+NºAsuntos!E31)/NºAsuntos!G31," - ")</f>
        <v>3.3298458149779737</v>
      </c>
      <c r="AP31" s="1186" t="str">
        <f t="shared" si="2"/>
        <v xml:space="preserve"> - </v>
      </c>
      <c r="AQ31" s="1187">
        <f>IF(OR(ISNUMBER(FIND("01",Criterios!A8,1)),ISNUMBER(FIND("02",Criterios!A8,1)),ISNUMBER(FIND("03",Criterios!A8,1)),ISNUMBER(FIND("04",Criterios!A8,1))),(I31-W31+K31)/(F31-K31),(H31-W31+K31)/(F31-K31))</f>
        <v>-1.1433670434265317</v>
      </c>
      <c r="AR31" s="1188">
        <f>IF(ISNUMBER((Datos!P31-Datos!Q31)/(Datos!R31-Datos!P31+Datos!Q31)),(Datos!P31-Datos!Q31)/(Datos!R31-Datos!P31+Datos!Q31)," - ")</f>
        <v>1.3050972666830829E-2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805.38305586017054</v>
      </c>
      <c r="G33" s="277">
        <f>IF(ISNUMBER(STDEV(G8:G30)),STDEV(G8:G30),"-")</f>
        <v>790.33323291357237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873.1375280316056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161.10954569573371</v>
      </c>
      <c r="AJ33" s="276">
        <f t="shared" si="25"/>
        <v>0</v>
      </c>
      <c r="AK33" s="278">
        <f t="shared" si="25"/>
        <v>0</v>
      </c>
      <c r="AL33" s="273">
        <f t="shared" si="25"/>
        <v>0.13178897403610415</v>
      </c>
      <c r="AM33" s="274">
        <f t="shared" si="25"/>
        <v>7.1026258118263588</v>
      </c>
      <c r="AN33" s="274">
        <f t="shared" si="25"/>
        <v>0.13010998415898614</v>
      </c>
      <c r="AO33" s="275">
        <f t="shared" si="25"/>
        <v>2.270270055064485</v>
      </c>
      <c r="AP33" s="317" t="str">
        <f t="shared" si="25"/>
        <v>-</v>
      </c>
      <c r="AQ33" s="318">
        <f t="shared" si="25"/>
        <v>0.73209210522472135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lhSGdvQUX6HD8CJuRtrCk6Ffv/vTHKVZtGaWkQ8bZTq4yBBkaUnM5clV+gbCU70nre3iYZDgIVU8y9hHpPoQw==" saltValue="JEGm5/xY1prK+1Sp9qo+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NAVALCARNERO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0.1388888888888889</v>
      </c>
      <c r="E10" s="393">
        <f>IF(ISNUMBER((Datos!J10-Datos!T10)/Datos!T10),(Datos!J10-Datos!T10)/Datos!T10," - ")</f>
        <v>3.25</v>
      </c>
      <c r="F10" s="393" t="str">
        <f>IF(ISNUMBER((Datos!K10-Datos!U10)/Datos!U10),(Datos!K10-Datos!U10)/Datos!U10," - ")</f>
        <v xml:space="preserve"> - </v>
      </c>
      <c r="G10" s="394">
        <f>IF(ISNUMBER((Datos!L10-Datos!V10)/Datos!V10),(Datos!L10-Datos!V10)/Datos!V10," - ")</f>
        <v>0.13157894736842105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-0.13858695652173914</v>
      </c>
      <c r="I12" s="395">
        <f>IF(ISNUMBER((Tasas!C12-Datos!BE12)/Datos!BE12),(Tasas!C12-Datos!BE12)/Datos!BE12," - ")</f>
        <v>0.72594751555751746</v>
      </c>
      <c r="J12" s="394">
        <f>IF(ISNUMBER((Tasas!D12-Datos!BF12)/Datos!BF12),(Tasas!D12-Datos!BF12)/Datos!BF12," - ")</f>
        <v>-0.59695065923029245</v>
      </c>
      <c r="K12" s="396">
        <f>IF(ISNUMBER((Tasas!E12-Datos!BG12)/Datos!BG12),(Tasas!E12-Datos!BG12)/Datos!BG12," - ")</f>
        <v>0.48489437328550011</v>
      </c>
      <c r="M12" t="e">
        <f>IF(Monitorios="SI",Datos!CE12,0)</f>
        <v>#REF!</v>
      </c>
      <c r="N12" t="e">
        <f>IF(Monitorios="SI",Datos!CF12,0)</f>
        <v>#REF!</v>
      </c>
      <c r="O12" t="e">
        <f>IF(Monitorios="SI",Datos!CG12,0)</f>
        <v>#REF!</v>
      </c>
      <c r="P12" t="e">
        <f>IF(Monitorios="SI",Datos!CH12,0)</f>
        <v>#REF!</v>
      </c>
      <c r="Q12">
        <f>IF(J_V="SI",0,Datos!AG12)</f>
        <v>248</v>
      </c>
      <c r="R12">
        <f>IF(J_V="SI",0,Datos!AH12)</f>
        <v>249</v>
      </c>
      <c r="S12">
        <f>IF(J_V="SI",0,Datos!AI12)</f>
        <v>247</v>
      </c>
      <c r="T12">
        <f>IF(J_V="SI",0,Datos!AJ12)</f>
        <v>250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-0.12228260869565218</v>
      </c>
      <c r="I14" s="402">
        <f>IF(ISNUMBER((Tasas!C14-Datos!BE14)/Datos!BE14),(Tasas!C14-Datos!BE14)/Datos!BE14," - ")</f>
        <v>0.70297667647087736</v>
      </c>
      <c r="J14" s="400">
        <f>IF(ISNUMBER((Tasas!D14-Datos!BF14)/Datos!BF14),(Tasas!D14-Datos!BF14)/Datos!BF14," - ")</f>
        <v>-0.5924205225144088</v>
      </c>
      <c r="K14" s="403">
        <f>IF(ISNUMBER((Tasas!E14-Datos!BG14)/Datos!BG14),(Tasas!E14-Datos!BG14)/Datos!BG14," - ")</f>
        <v>0.4720952515050465</v>
      </c>
      <c r="M14" t="e">
        <f>IF(Monitorios="SI",Datos!CE14,0)</f>
        <v>#REF!</v>
      </c>
      <c r="N14" t="e">
        <f>IF(Monitorios="SI",Datos!CF14,0)</f>
        <v>#REF!</v>
      </c>
      <c r="O14" t="e">
        <f>IF(Monitorios="SI",Datos!CG14,0)</f>
        <v>#REF!</v>
      </c>
      <c r="P14" t="e">
        <f>IF(Monitorios="SI",Datos!CH14,0)</f>
        <v>#REF!</v>
      </c>
      <c r="Q14">
        <f>IF(J_V="SI",0,Datos!AG14)</f>
        <v>248</v>
      </c>
      <c r="R14">
        <f>IF(J_V="SI",0,Datos!AH14)</f>
        <v>249</v>
      </c>
      <c r="S14">
        <f>IF(J_V="SI",0,Datos!AI14)</f>
        <v>247</v>
      </c>
      <c r="T14">
        <f>IF(J_V="SI",0,Datos!AJ14)</f>
        <v>250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0.2573940847322142</v>
      </c>
      <c r="E17" s="393">
        <f>IF(ISNUMBER(
   IF(D_I="SI",(Datos!J17-Datos!T17)/Datos!T17,(Datos!J17+Datos!AD17-(Datos!T17+Datos!AL17))/(Datos!T17+Datos!AL17))
     ),IF(D_I="SI",(Datos!J17-Datos!T17)/Datos!T17,(Datos!J17+Datos!AD17-(Datos!T17+Datos!AL17))/(Datos!T17+Datos!AL17))," - ")</f>
        <v>0.12491694352159469</v>
      </c>
      <c r="F17" s="393">
        <f>IF(ISNUMBER(
   IF(D_I="SI",(Datos!K17-Datos!U17)/Datos!U17,(Datos!K17+Datos!AE17-(Datos!U17+Datos!AM17))/(Datos!U17+Datos!AM17))
     ),IF(D_I="SI",(Datos!K17-Datos!U17)/Datos!U17,(Datos!K17+Datos!AE17-(Datos!U17+Datos!AM17))/(Datos!U17+Datos!AM17))," - ")</f>
        <v>4.2668269230769232E-2</v>
      </c>
      <c r="G17" s="394">
        <f>IF(ISNUMBER(
   IF(D_I="SI",(Datos!L17-Datos!V17)/Datos!V17,(Datos!L17+Datos!AF17-(Datos!V17+Datos!AN17))/(Datos!V17+Datos!AN17))
     ),IF(D_I="SI",(Datos!L17-Datos!V17)/Datos!V17,(Datos!L17+Datos!AF17-(Datos!V17+Datos!AN17))/(Datos!V17+Datos!AN17))," - ")</f>
        <v>0.28042763157894735</v>
      </c>
      <c r="H17" s="244">
        <f>IF(ISNUMBER((Datos!M17-Datos!W17)/Datos!W17),(Datos!M17-Datos!W17)/Datos!W17," - ")</f>
        <v>-0.16959064327485379</v>
      </c>
      <c r="I17" s="395">
        <f>IF(ISNUMBER((Tasas!C17-Datos!BE17)/Datos!BE17),(Tasas!C17-Datos!BE17)/Datos!BE17," - ")</f>
        <v>0.2280297284999242</v>
      </c>
      <c r="J17" s="394">
        <f>IF(ISNUMBER((Tasas!D17-Datos!BF17)/Datos!BF17),(Tasas!D17-Datos!BF17)/Datos!BF17," - ")</f>
        <v>-0.20357281291605567</v>
      </c>
      <c r="K17" s="396">
        <f>IF(ISNUMBER((Tasas!E17-Datos!BG17)/Datos!BG17),(Tasas!E17-Datos!BG17)/Datos!BG17," - ")</f>
        <v>0.13655592409330647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1.0090090090090089</v>
      </c>
      <c r="E18" s="393">
        <f>IF(ISNUMBER(
   IF(D_I="SI",(Datos!J18-Datos!T18)/Datos!T18,(Datos!J18+Datos!AD18-(Datos!T18+Datos!AL18))/(Datos!T18+Datos!AL18))
     ),IF(D_I="SI",(Datos!J18-Datos!T18)/Datos!T18,(Datos!J18+Datos!AD18-(Datos!T18+Datos!AL18))/(Datos!T18+Datos!AL18))," - ")</f>
        <v>0.5625</v>
      </c>
      <c r="F18" s="393">
        <f>IF(ISNUMBER(
   IF(D_I="SI",(Datos!K18-Datos!U18)/Datos!U18,(Datos!K18+Datos!AE18-(Datos!U18+Datos!AM18))/(Datos!U18+Datos!AM18))
     ),IF(D_I="SI",(Datos!K18-Datos!U18)/Datos!U18,(Datos!K18+Datos!AE18-(Datos!U18+Datos!AM18))/(Datos!U18+Datos!AM18))," - ")</f>
        <v>0.47457627118644069</v>
      </c>
      <c r="G18" s="394">
        <f>IF(ISNUMBER(
   IF(D_I="SI",(Datos!L18-Datos!V18)/Datos!V18,(Datos!L18+Datos!AF18-(Datos!V18+Datos!AN18))/(Datos!V18+Datos!AN18))
     ),IF(D_I="SI",(Datos!L18-Datos!V18)/Datos!V18,(Datos!L18+Datos!AF18-(Datos!V18+Datos!AN18))/(Datos!V18+Datos!AN18))," - ")</f>
        <v>0.26446280991735538</v>
      </c>
      <c r="H18" s="244">
        <f>IF(ISNUMBER((Datos!M18-Datos!W18)/Datos!W18),(Datos!M18-Datos!W18)/Datos!W18," - ")</f>
        <v>0.5</v>
      </c>
      <c r="I18" s="395">
        <f>IF(ISNUMBER((Tasas!C18-Datos!BE18)/Datos!BE18),(Tasas!C18-Datos!BE18)/Datos!BE18," - ")</f>
        <v>-0.14249073810202334</v>
      </c>
      <c r="J18" s="394">
        <f>IF(ISNUMBER((Tasas!D18-Datos!BF18)/Datos!BF18),(Tasas!D18-Datos!BF18)/Datos!BF18," - ")</f>
        <v>1.7241379310344942E-2</v>
      </c>
      <c r="K18" s="396">
        <f>IF(ISNUMBER((Tasas!E18-Datos!BG18)/Datos!BG18),(Tasas!E18-Datos!BG18)/Datos!BG18," - ")</f>
        <v>0.20025970278459093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0.3186490455212922</v>
      </c>
      <c r="E23" s="399">
        <f>IF(ISNUMBER(
   IF(D_I="SI",(Datos!J23-Datos!T23)/Datos!T23,(Datos!J23+Datos!AD23-(Datos!T23+Datos!AL23))/(Datos!T23+Datos!AL23))
     ),IF(D_I="SI",(Datos!J23-Datos!T23)/Datos!T23,(Datos!J23+Datos!AD23-(Datos!T23+Datos!AL23))/(Datos!T23+Datos!AL23))," - ")</f>
        <v>0.15921616656460502</v>
      </c>
      <c r="F23" s="399">
        <f>IF(ISNUMBER(
   IF(D_I="SI",(Datos!K23-Datos!U23)/Datos!U23,(Datos!K23+Datos!AE23-(Datos!U23+Datos!AM23))/(Datos!U23+Datos!AM23))
     ),IF(D_I="SI",(Datos!K23-Datos!U23)/Datos!U23,(Datos!K23+Datos!AE23-(Datos!U23+Datos!AM23))/(Datos!U23+Datos!AM23))," - ")</f>
        <v>7.1268237934904596E-2</v>
      </c>
      <c r="G23" s="400">
        <f>IF(ISNUMBER(
   IF(D_I="SI",(Datos!L23-Datos!V23)/Datos!V23,(Datos!L23+Datos!AF23-(Datos!V23+Datos!AN23))/(Datos!V23+Datos!AN23))
     ),IF(D_I="SI",(Datos!L23-Datos!V23)/Datos!V23,(Datos!L23+Datos!AF23-(Datos!V23+Datos!AN23))/(Datos!V23+Datos!AN23))," - ")</f>
        <v>0.27898279730740466</v>
      </c>
      <c r="H23" s="401">
        <f>IF(ISNUMBER((Datos!M23-Datos!W23)/Datos!W23),(Datos!M23-Datos!W23)/Datos!W23," - ")</f>
        <v>-0.15056818181818182</v>
      </c>
      <c r="I23" s="402">
        <f>IF(ISNUMBER((Tasas!C23-Datos!BE23)/Datos!BE23),(Tasas!C23-Datos!BE23)/Datos!BE23," - ")</f>
        <v>0.19389593755987175</v>
      </c>
      <c r="J23" s="400">
        <f>IF(ISNUMBER((Tasas!D23-Datos!BF23)/Datos!BF23),(Tasas!D23-Datos!BF23)/Datos!BF23," - ")</f>
        <v>-0.20707831325301199</v>
      </c>
      <c r="K23" s="403">
        <f>IF(ISNUMBER((Tasas!E23-Datos!BG23)/Datos!BG23),(Tasas!E23-Datos!BG23)/Datos!BG23," - ")</f>
        <v>0.14977695495635734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0.41433189655172414</v>
      </c>
      <c r="E31" s="409">
        <f>IF(ISNUMBER(
   IF(J_V="SI",(Datos!J31-Datos!T31)/Datos!T31,(Datos!J31+Datos!Z31-(Datos!T31+Datos!AH31))/(Datos!T31+Datos!AH31))
     ),IF(J_V="SI",(Datos!J31-Datos!T31)/Datos!T31,(Datos!J31+Datos!Z31-(Datos!T31+Datos!AH31))/(Datos!T31+Datos!AH31))," - ")</f>
        <v>0.26241771394374624</v>
      </c>
      <c r="F31" s="409">
        <f>IF(ISNUMBER(
   IF(J_V="SI",(Datos!K31-Datos!U31)/Datos!U31,(Datos!K31+Datos!AA31-(Datos!U31+Datos!AI31))/(Datos!U31+Datos!AI31))
     ),IF(J_V="SI",(Datos!K31-Datos!U31)/Datos!U31,(Datos!K31+Datos!AA31-(Datos!U31+Datos!AI31))/(Datos!U31+Datos!AI31))," - ")</f>
        <v>1.822259601906364E-2</v>
      </c>
      <c r="G31" s="410">
        <f>IF(ISNUMBER(
   IF(J_V="SI",(Datos!L31-Datos!V31)/Datos!V31,(Datos!L31+Datos!AB31-(Datos!V31+Datos!AJ31))/(Datos!V31+Datos!AJ31))
     ),IF(J_V="SI",(Datos!L31-Datos!V31)/Datos!V31,(Datos!L31+Datos!AB31-(Datos!V31+Datos!AJ31))/(Datos!V31+Datos!AJ31))," - ")</f>
        <v>0.55460032924821656</v>
      </c>
      <c r="H31" s="411">
        <f>IF(ISNUMBER((Datos!M31-Datos!W31)/Datos!W31),(Datos!M31-Datos!W31)/Datos!W31," - ")</f>
        <v>-0.1361111111111111</v>
      </c>
      <c r="I31" s="408">
        <f>IF(ISNUMBER((Tasas!C31-Datos!BE31)/Datos!BE31),(Tasas!C31-Datos!BE31)/Datos!BE31," - ")</f>
        <v>0.5267784621223538</v>
      </c>
      <c r="J31" s="409">
        <f>IF(ISNUMBER((Tasas!D31-Datos!BF31)/Datos!BF31),(Tasas!D31-Datos!BF31)/Datos!BF31," - ")</f>
        <v>-0.47922558220760059</v>
      </c>
      <c r="K31" s="410">
        <f>IF(ISNUMBER((Tasas!E31-Datos!BG31)/Datos!BG31),(Tasas!E31-Datos!BG31)/Datos!BG31," - ")</f>
        <v>0.33305948619825287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0.39250692802758991</v>
      </c>
      <c r="E33" s="303">
        <f t="shared" si="1"/>
        <v>1.4971372204767641</v>
      </c>
      <c r="F33" s="303">
        <f t="shared" si="1"/>
        <v>0.24152979459010848</v>
      </c>
      <c r="G33" s="304">
        <f t="shared" si="1"/>
        <v>7.188517452885626E-2</v>
      </c>
      <c r="H33" s="310">
        <f t="shared" si="1"/>
        <v>0.28908390847750604</v>
      </c>
      <c r="I33" s="302">
        <f t="shared" si="1"/>
        <v>0.3699238531661011</v>
      </c>
      <c r="J33" s="303">
        <f t="shared" si="1"/>
        <v>0.26967278996979543</v>
      </c>
      <c r="K33" s="304">
        <f t="shared" si="1"/>
        <v>0.17492510360233682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Uku8i5dt73b8zxQccf6OL3uCxlGq9XrzuyRnavYMdpD9TH22gAJqe3ExhFzK+5SS151jr2zDiew4TUyY/VbKA==" saltValue="/5bwbPiQDrHNcgfrNoa7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